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lavery\Dropbox\! Atatchments\"/>
    </mc:Choice>
  </mc:AlternateContent>
  <xr:revisionPtr revIDLastSave="0" documentId="8_{4F3D06F1-718D-4EAF-BEE4-3C06D04B7E08}" xr6:coauthVersionLast="47" xr6:coauthVersionMax="47" xr10:uidLastSave="{00000000-0000-0000-0000-000000000000}"/>
  <bookViews>
    <workbookView xWindow="28680" yWindow="-120" windowWidth="29040" windowHeight="15720" xr2:uid="{B802F622-7499-43AC-8303-C529ADDA0FCA}"/>
  </bookViews>
  <sheets>
    <sheet name="Elementary &amp; Middle Schools" sheetId="1" r:id="rId1"/>
    <sheet name="High School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8" i="2" l="1"/>
  <c r="J78" i="2" s="1"/>
  <c r="J80" i="2"/>
  <c r="J79" i="2"/>
  <c r="H62" i="1"/>
  <c r="J64" i="1"/>
  <c r="J63" i="1"/>
  <c r="I52" i="2"/>
  <c r="G69" i="2" l="1"/>
  <c r="J69" i="2" s="1"/>
  <c r="D28" i="1"/>
  <c r="J33" i="1" s="1"/>
  <c r="J62" i="1"/>
  <c r="H28" i="1" l="1"/>
  <c r="I28" i="1"/>
  <c r="J28" i="1"/>
  <c r="J35" i="1"/>
  <c r="J31" i="1"/>
  <c r="J30" i="1"/>
  <c r="J32" i="1"/>
  <c r="J34" i="1"/>
  <c r="I62" i="1"/>
  <c r="H50" i="1" l="1"/>
  <c r="J70" i="1"/>
  <c r="I70" i="1"/>
  <c r="D11" i="2" l="1"/>
  <c r="G11" i="2" s="1"/>
  <c r="D8" i="1" l="1"/>
  <c r="D10" i="2"/>
  <c r="F11" i="2"/>
  <c r="J19" i="1"/>
  <c r="J18" i="1"/>
  <c r="J17" i="1"/>
  <c r="J16" i="1"/>
  <c r="J15" i="1"/>
  <c r="D37" i="1"/>
  <c r="J37" i="1" s="1"/>
  <c r="J61" i="2"/>
  <c r="J59" i="2"/>
  <c r="J57" i="2"/>
  <c r="J55" i="2"/>
  <c r="J86" i="2"/>
  <c r="H48" i="2"/>
  <c r="I47" i="2" s="1"/>
  <c r="D7" i="2" s="1"/>
  <c r="F7" i="2" s="1"/>
  <c r="I42" i="2"/>
  <c r="I33" i="2" s="1"/>
  <c r="I34" i="2" s="1"/>
  <c r="H42" i="2"/>
  <c r="H33" i="2" s="1"/>
  <c r="H34" i="2" s="1"/>
  <c r="J41" i="2"/>
  <c r="J40" i="2"/>
  <c r="J39" i="2"/>
  <c r="J38" i="2"/>
  <c r="J37" i="2"/>
  <c r="J36" i="2"/>
  <c r="J35" i="2"/>
  <c r="J44" i="1" l="1"/>
  <c r="J41" i="1"/>
  <c r="J43" i="1"/>
  <c r="J40" i="1"/>
  <c r="J39" i="1"/>
  <c r="J42" i="1"/>
  <c r="F28" i="1"/>
  <c r="E28" i="1"/>
  <c r="F37" i="1"/>
  <c r="I37" i="1" s="1"/>
  <c r="E37" i="1"/>
  <c r="F10" i="2"/>
  <c r="G10" i="2" s="1"/>
  <c r="J52" i="2"/>
  <c r="D8" i="2"/>
  <c r="G7" i="2"/>
  <c r="I68" i="2"/>
  <c r="D9" i="2" s="1"/>
  <c r="J47" i="2"/>
  <c r="J42" i="2"/>
  <c r="J33" i="2" s="1"/>
  <c r="G32" i="2" s="1"/>
  <c r="I24" i="2"/>
  <c r="I15" i="2" s="1"/>
  <c r="I16" i="2" s="1"/>
  <c r="H24" i="2"/>
  <c r="J23" i="2"/>
  <c r="J22" i="2"/>
  <c r="J19" i="2"/>
  <c r="J21" i="2"/>
  <c r="J20" i="2"/>
  <c r="J18" i="2"/>
  <c r="J17" i="2"/>
  <c r="D9" i="1"/>
  <c r="J52" i="1"/>
  <c r="I13" i="1"/>
  <c r="I14" i="1" s="1"/>
  <c r="H13" i="1"/>
  <c r="H14" i="1" s="1"/>
  <c r="I51" i="1" l="1"/>
  <c r="I50" i="1"/>
  <c r="J50" i="1"/>
  <c r="H37" i="1"/>
  <c r="J53" i="1"/>
  <c r="G9" i="2"/>
  <c r="F9" i="2"/>
  <c r="G8" i="2"/>
  <c r="F8" i="2"/>
  <c r="F9" i="1"/>
  <c r="G9" i="1"/>
  <c r="H15" i="2"/>
  <c r="H16" i="2" s="1"/>
  <c r="J68" i="2"/>
  <c r="J34" i="2"/>
  <c r="I31" i="2"/>
  <c r="D6" i="2" s="1"/>
  <c r="J24" i="2"/>
  <c r="J15" i="2" s="1"/>
  <c r="D7" i="1"/>
  <c r="J13" i="1"/>
  <c r="H26" i="1" l="1"/>
  <c r="G6" i="2"/>
  <c r="F6" i="2"/>
  <c r="G7" i="1"/>
  <c r="F7" i="1"/>
  <c r="G12" i="1"/>
  <c r="H11" i="1" s="1"/>
  <c r="J14" i="1"/>
  <c r="G14" i="2"/>
  <c r="I13" i="2" s="1"/>
  <c r="J16" i="2"/>
  <c r="I26" i="1" l="1"/>
  <c r="J26" i="1"/>
  <c r="J11" i="1"/>
  <c r="I11" i="1"/>
  <c r="J31" i="2"/>
  <c r="D5" i="2"/>
  <c r="F8" i="1"/>
  <c r="G8" i="1"/>
  <c r="D6" i="1"/>
  <c r="J13" i="2"/>
  <c r="D5" i="1"/>
  <c r="J5" i="1" l="1"/>
  <c r="I5" i="1"/>
  <c r="F5" i="2"/>
  <c r="I5" i="2"/>
  <c r="J5" i="2" s="1"/>
  <c r="G5" i="2"/>
  <c r="H5" i="1"/>
  <c r="G5" i="1"/>
  <c r="F6" i="1"/>
  <c r="F5" i="1" s="1"/>
  <c r="G6" i="1" l="1"/>
</calcChain>
</file>

<file path=xl/sharedStrings.xml><?xml version="1.0" encoding="utf-8"?>
<sst xmlns="http://schemas.openxmlformats.org/spreadsheetml/2006/main" count="253" uniqueCount="167">
  <si>
    <t>Academic Achievement</t>
  </si>
  <si>
    <r>
      <t xml:space="preserve">Number Projected for </t>
    </r>
    <r>
      <rPr>
        <i/>
        <sz val="11"/>
        <color theme="1"/>
        <rFont val="Calibri"/>
        <family val="2"/>
        <scheme val="minor"/>
      </rPr>
      <t>Exceeds Expectations</t>
    </r>
    <r>
      <rPr>
        <sz val="11"/>
        <color theme="1"/>
        <rFont val="Calibri"/>
        <family val="2"/>
        <scheme val="minor"/>
      </rPr>
      <t>:</t>
    </r>
  </si>
  <si>
    <r>
      <t xml:space="preserve">Number Projected for </t>
    </r>
    <r>
      <rPr>
        <i/>
        <sz val="11"/>
        <color theme="1"/>
        <rFont val="Calibri"/>
        <family val="2"/>
        <scheme val="minor"/>
      </rPr>
      <t>Does Not Meet Expectations</t>
    </r>
    <r>
      <rPr>
        <sz val="11"/>
        <color theme="1"/>
        <rFont val="Calibri"/>
        <family val="2"/>
        <scheme val="minor"/>
      </rPr>
      <t>:</t>
    </r>
  </si>
  <si>
    <r>
      <t xml:space="preserve">Number Projected for </t>
    </r>
    <r>
      <rPr>
        <i/>
        <sz val="11"/>
        <color theme="1"/>
        <rFont val="Calibri"/>
        <family val="2"/>
        <scheme val="minor"/>
      </rPr>
      <t>Approches Expectations</t>
    </r>
    <r>
      <rPr>
        <sz val="11"/>
        <color theme="1"/>
        <rFont val="Calibri"/>
        <family val="2"/>
        <scheme val="minor"/>
      </rPr>
      <t>:</t>
    </r>
  </si>
  <si>
    <r>
      <t xml:space="preserve">Number Projected for </t>
    </r>
    <r>
      <rPr>
        <i/>
        <sz val="11"/>
        <color theme="1"/>
        <rFont val="Calibri"/>
        <family val="2"/>
        <scheme val="minor"/>
      </rPr>
      <t>Meets Expectations</t>
    </r>
    <r>
      <rPr>
        <sz val="11"/>
        <color theme="1"/>
        <rFont val="Calibri"/>
        <family val="2"/>
        <scheme val="minor"/>
      </rPr>
      <t>:</t>
    </r>
  </si>
  <si>
    <r>
      <t xml:space="preserve">Number Projected for </t>
    </r>
    <r>
      <rPr>
        <i/>
        <sz val="11"/>
        <color theme="1"/>
        <rFont val="Calibri"/>
        <family val="2"/>
        <scheme val="minor"/>
      </rPr>
      <t>Not Tested</t>
    </r>
    <r>
      <rPr>
        <sz val="11"/>
        <color theme="1"/>
        <rFont val="Calibri"/>
        <family val="2"/>
        <scheme val="minor"/>
      </rPr>
      <t>:</t>
    </r>
  </si>
  <si>
    <t>ELA</t>
  </si>
  <si>
    <t>Math</t>
  </si>
  <si>
    <t>Percent who Meet or Exceed Expectations:</t>
  </si>
  <si>
    <t>Number Included in the Indicator:</t>
  </si>
  <si>
    <t>Combined</t>
  </si>
  <si>
    <t>Rating</t>
  </si>
  <si>
    <t>AAES</t>
  </si>
  <si>
    <t>AAMS</t>
  </si>
  <si>
    <t>PfSES</t>
  </si>
  <si>
    <t>PfSMS</t>
  </si>
  <si>
    <t>MLPES</t>
  </si>
  <si>
    <t>MLPMS</t>
  </si>
  <si>
    <t>SPES</t>
  </si>
  <si>
    <t>SPMS</t>
  </si>
  <si>
    <t>SCES</t>
  </si>
  <si>
    <t>SCMS</t>
  </si>
  <si>
    <t>Excellent</t>
  </si>
  <si>
    <t>Good</t>
  </si>
  <si>
    <t>Average</t>
  </si>
  <si>
    <t>Below Average</t>
  </si>
  <si>
    <t>Unsatisfactory</t>
  </si>
  <si>
    <t>Student Progress</t>
  </si>
  <si>
    <t>Est. Points</t>
  </si>
  <si>
    <t>Est. ES Rating</t>
  </si>
  <si>
    <t>Est. MS Rating</t>
  </si>
  <si>
    <t>Participation Rate:</t>
  </si>
  <si>
    <r>
      <t xml:space="preserve">Number in </t>
    </r>
    <r>
      <rPr>
        <b/>
        <sz val="11"/>
        <color theme="1"/>
        <rFont val="Calibri"/>
        <family val="2"/>
        <scheme val="minor"/>
      </rPr>
      <t>PAB 6</t>
    </r>
    <r>
      <rPr>
        <sz val="11"/>
        <color theme="1"/>
        <rFont val="Calibri"/>
        <family val="2"/>
        <scheme val="minor"/>
      </rPr>
      <t xml:space="preserve"> (</t>
    </r>
    <r>
      <rPr>
        <b/>
        <i/>
        <sz val="11"/>
        <color theme="1"/>
        <rFont val="Calibri"/>
        <family val="2"/>
        <scheme val="minor"/>
      </rPr>
      <t>55</t>
    </r>
    <r>
      <rPr>
        <i/>
        <sz val="11"/>
        <color theme="1"/>
        <rFont val="Calibri"/>
        <family val="2"/>
        <scheme val="minor"/>
      </rPr>
      <t xml:space="preserve"> CGP</t>
    </r>
    <r>
      <rPr>
        <sz val="11"/>
        <color theme="1"/>
        <rFont val="Calibri"/>
        <family val="2"/>
        <scheme val="minor"/>
      </rPr>
      <t>) projected:</t>
    </r>
  </si>
  <si>
    <r>
      <t xml:space="preserve">Number in </t>
    </r>
    <r>
      <rPr>
        <b/>
        <sz val="11"/>
        <color theme="1"/>
        <rFont val="Calibri"/>
        <family val="2"/>
        <scheme val="minor"/>
      </rPr>
      <t>PAB 4</t>
    </r>
    <r>
      <rPr>
        <sz val="11"/>
        <color theme="1"/>
        <rFont val="Calibri"/>
        <family val="2"/>
        <scheme val="minor"/>
      </rPr>
      <t xml:space="preserve"> (</t>
    </r>
    <r>
      <rPr>
        <b/>
        <i/>
        <sz val="11"/>
        <color theme="1"/>
        <rFont val="Calibri"/>
        <family val="2"/>
        <scheme val="minor"/>
      </rPr>
      <t>65</t>
    </r>
    <r>
      <rPr>
        <i/>
        <sz val="11"/>
        <color theme="1"/>
        <rFont val="Calibri"/>
        <family val="2"/>
        <scheme val="minor"/>
      </rPr>
      <t xml:space="preserve"> CGP</t>
    </r>
    <r>
      <rPr>
        <sz val="11"/>
        <color theme="1"/>
        <rFont val="Calibri"/>
        <family val="2"/>
        <scheme val="minor"/>
      </rPr>
      <t>) projected:</t>
    </r>
  </si>
  <si>
    <r>
      <t xml:space="preserve">Number in </t>
    </r>
    <r>
      <rPr>
        <b/>
        <sz val="11"/>
        <color theme="1"/>
        <rFont val="Calibri"/>
        <family val="2"/>
        <scheme val="minor"/>
      </rPr>
      <t>PAB 3</t>
    </r>
    <r>
      <rPr>
        <sz val="11"/>
        <color theme="1"/>
        <rFont val="Calibri"/>
        <family val="2"/>
        <scheme val="minor"/>
      </rPr>
      <t xml:space="preserve"> (</t>
    </r>
    <r>
      <rPr>
        <b/>
        <i/>
        <sz val="11"/>
        <color theme="1"/>
        <rFont val="Calibri"/>
        <family val="2"/>
        <scheme val="minor"/>
      </rPr>
      <t>70</t>
    </r>
    <r>
      <rPr>
        <i/>
        <sz val="11"/>
        <color theme="1"/>
        <rFont val="Calibri"/>
        <family val="2"/>
        <scheme val="minor"/>
      </rPr>
      <t xml:space="preserve"> CGP</t>
    </r>
    <r>
      <rPr>
        <sz val="11"/>
        <color theme="1"/>
        <rFont val="Calibri"/>
        <family val="2"/>
        <scheme val="minor"/>
      </rPr>
      <t>) projected:</t>
    </r>
  </si>
  <si>
    <r>
      <t>Number in</t>
    </r>
    <r>
      <rPr>
        <b/>
        <sz val="11"/>
        <color theme="1"/>
        <rFont val="Calibri"/>
        <family val="2"/>
        <scheme val="minor"/>
      </rPr>
      <t xml:space="preserve"> PAB 2</t>
    </r>
    <r>
      <rPr>
        <sz val="11"/>
        <color theme="1"/>
        <rFont val="Calibri"/>
        <family val="2"/>
        <scheme val="minor"/>
      </rPr>
      <t xml:space="preserve"> (</t>
    </r>
    <r>
      <rPr>
        <b/>
        <i/>
        <sz val="11"/>
        <color theme="1"/>
        <rFont val="Calibri"/>
        <family val="2"/>
        <scheme val="minor"/>
      </rPr>
      <t>75</t>
    </r>
    <r>
      <rPr>
        <i/>
        <sz val="11"/>
        <color theme="1"/>
        <rFont val="Calibri"/>
        <family val="2"/>
        <scheme val="minor"/>
      </rPr>
      <t xml:space="preserve"> CGP</t>
    </r>
    <r>
      <rPr>
        <sz val="11"/>
        <color theme="1"/>
        <rFont val="Calibri"/>
        <family val="2"/>
        <scheme val="minor"/>
      </rPr>
      <t>) projected:</t>
    </r>
  </si>
  <si>
    <r>
      <t xml:space="preserve">Number in </t>
    </r>
    <r>
      <rPr>
        <b/>
        <sz val="11"/>
        <color theme="1"/>
        <rFont val="Calibri"/>
        <family val="2"/>
        <scheme val="minor"/>
      </rPr>
      <t>PAB 1</t>
    </r>
    <r>
      <rPr>
        <sz val="11"/>
        <color theme="1"/>
        <rFont val="Calibri"/>
        <family val="2"/>
        <scheme val="minor"/>
      </rPr>
      <t xml:space="preserve"> (</t>
    </r>
    <r>
      <rPr>
        <b/>
        <i/>
        <sz val="11"/>
        <color theme="1"/>
        <rFont val="Calibri"/>
        <family val="2"/>
        <scheme val="minor"/>
      </rPr>
      <t>80</t>
    </r>
    <r>
      <rPr>
        <i/>
        <sz val="11"/>
        <color theme="1"/>
        <rFont val="Calibri"/>
        <family val="2"/>
        <scheme val="minor"/>
      </rPr>
      <t xml:space="preserve"> CGP</t>
    </r>
    <r>
      <rPr>
        <sz val="11"/>
        <color theme="1"/>
        <rFont val="Calibri"/>
        <family val="2"/>
        <scheme val="minor"/>
      </rPr>
      <t>) projected:</t>
    </r>
  </si>
  <si>
    <t>ELA &lt; MAT</t>
  </si>
  <si>
    <t>ELA ≥ MAT</t>
  </si>
  <si>
    <t>ELA ≥ AVT</t>
  </si>
  <si>
    <t>ELA Partial AVT</t>
  </si>
  <si>
    <t>ELA SC READY Projections</t>
  </si>
  <si>
    <t>Mathematics SC READY Projections</t>
  </si>
  <si>
    <t>Math &lt; MAT</t>
  </si>
  <si>
    <t>Math ≥ MAT</t>
  </si>
  <si>
    <t>Math ≥ AVT</t>
  </si>
  <si>
    <t>Math Partial AVT</t>
  </si>
  <si>
    <t>Preparing for Success</t>
  </si>
  <si>
    <r>
      <rPr>
        <b/>
        <i/>
        <sz val="9"/>
        <color theme="1"/>
        <rFont val="Calibri"/>
        <family val="2"/>
        <scheme val="minor"/>
      </rPr>
      <t>Notes:</t>
    </r>
    <r>
      <rPr>
        <i/>
        <sz val="9"/>
        <color theme="1"/>
        <rFont val="Calibri"/>
        <family val="2"/>
        <scheme val="minor"/>
      </rPr>
      <t xml:space="preserve"> Do not include students with a properly documented exclusion in the number projected for Not Tested. Participation rate is </t>
    </r>
    <r>
      <rPr>
        <b/>
        <i/>
        <u/>
        <sz val="9"/>
        <color theme="1"/>
        <rFont val="Calibri"/>
        <family val="2"/>
        <scheme val="minor"/>
      </rPr>
      <t>estimated</t>
    </r>
    <r>
      <rPr>
        <i/>
        <sz val="9"/>
        <color theme="1"/>
        <rFont val="Calibri"/>
        <family val="2"/>
        <scheme val="minor"/>
      </rPr>
      <t>, based on the information entered, as the percent of required tests that were taken. Consult the accountability manual for the correct calculation methods. Per the requirements of subparagraph 1111(c)(4)(E)(i) of ESSA, if a school tests fewer than 95 percent of eligible students, then the school's Rating in Academic Achievement shall be reduced by five (5) points and the school shall also not eligible for the highest overall rating level. The adjustments listed in the manual are applied to the estimates in this workbook. Schools that test fewer than 95 percent of eligible students must submit a plan to the SCDE outlining how the school will increase the percentage of students tested.</t>
    </r>
  </si>
  <si>
    <t>Science</t>
  </si>
  <si>
    <t>Multilingual Learners’ Progress</t>
  </si>
  <si>
    <t>Showing Progress:</t>
  </si>
  <si>
    <t>School Climate</t>
  </si>
  <si>
    <t>Multilingual Learners’ Progress:</t>
  </si>
  <si>
    <t>Academic Achievement:</t>
  </si>
  <si>
    <t>Student Progress:</t>
  </si>
  <si>
    <t>Preparing for Success:</t>
  </si>
  <si>
    <t>School Climate:</t>
  </si>
  <si>
    <t>Points:</t>
  </si>
  <si>
    <t>Out of:</t>
  </si>
  <si>
    <t>Weight:</t>
  </si>
  <si>
    <t>Est. Overall Points</t>
  </si>
  <si>
    <t>Est. ES Overall Rating</t>
  </si>
  <si>
    <t>TotalES</t>
  </si>
  <si>
    <t>TotalMS</t>
  </si>
  <si>
    <t>Est. MS Overall Rating</t>
  </si>
  <si>
    <r>
      <rPr>
        <b/>
        <i/>
        <sz val="9"/>
        <color theme="1"/>
        <rFont val="Calibri"/>
        <family val="2"/>
        <scheme val="minor"/>
      </rPr>
      <t>Notes:</t>
    </r>
    <r>
      <rPr>
        <i/>
        <sz val="9"/>
        <color theme="1"/>
        <rFont val="Calibri"/>
        <family val="2"/>
        <scheme val="minor"/>
      </rPr>
      <t xml:space="preserve"> Enter the estimated Rating Points received for the School Climate indicator according to the information presented in the accountability manual. A future update of this simulator may include additional fields in this area that allows users to enter information from the Qualtrics Climate Survey Dashboards to produce a more accurate estimate. In the meantime, feel free to make projections based on previous years' survey data at this school. If the school does not receive a School Climate rating, leave this cell blank.</t>
    </r>
  </si>
  <si>
    <t>Cut Scores for Indicator and Overall Ratings (DO NOT MODIFY)</t>
  </si>
  <si>
    <t>TotalHS</t>
  </si>
  <si>
    <t>AAHS</t>
  </si>
  <si>
    <t>PfSHS</t>
  </si>
  <si>
    <t>SCHS</t>
  </si>
  <si>
    <t>MLPHS</t>
  </si>
  <si>
    <t>GRHS</t>
  </si>
  <si>
    <t>CCRHS</t>
  </si>
  <si>
    <t>HSSS</t>
  </si>
  <si>
    <t>High School Student Success:</t>
  </si>
  <si>
    <t>Graduation Rate:</t>
  </si>
  <si>
    <t>College &amp; Career Readiness:</t>
  </si>
  <si>
    <t>English 2</t>
  </si>
  <si>
    <t>Algebra 1</t>
  </si>
  <si>
    <t>Percent Passing:</t>
  </si>
  <si>
    <r>
      <t xml:space="preserve">Number Projected to Earn a B (or </t>
    </r>
    <r>
      <rPr>
        <i/>
        <sz val="11"/>
        <color theme="1"/>
        <rFont val="Calibri"/>
        <family val="2"/>
        <scheme val="minor"/>
      </rPr>
      <t>Exceeds</t>
    </r>
    <r>
      <rPr>
        <sz val="11"/>
        <color theme="1"/>
        <rFont val="Calibri"/>
        <family val="2"/>
        <scheme val="minor"/>
      </rPr>
      <t xml:space="preserve"> on ALT):</t>
    </r>
  </si>
  <si>
    <r>
      <t xml:space="preserve">Number Projected to Earn a C (or </t>
    </r>
    <r>
      <rPr>
        <i/>
        <sz val="11"/>
        <color theme="1"/>
        <rFont val="Calibri"/>
        <family val="2"/>
        <scheme val="minor"/>
      </rPr>
      <t>Meets</t>
    </r>
    <r>
      <rPr>
        <sz val="11"/>
        <color theme="1"/>
        <rFont val="Calibri"/>
        <family val="2"/>
        <scheme val="minor"/>
      </rPr>
      <t xml:space="preserve"> on ALT):</t>
    </r>
  </si>
  <si>
    <r>
      <t xml:space="preserve">Number Projected to Earn a D (or </t>
    </r>
    <r>
      <rPr>
        <i/>
        <sz val="11"/>
        <color theme="1"/>
        <rFont val="Calibri"/>
        <family val="2"/>
        <scheme val="minor"/>
      </rPr>
      <t>Approaches</t>
    </r>
    <r>
      <rPr>
        <sz val="11"/>
        <color theme="1"/>
        <rFont val="Calibri"/>
        <family val="2"/>
        <scheme val="minor"/>
      </rPr>
      <t xml:space="preserve"> on ALT):</t>
    </r>
  </si>
  <si>
    <r>
      <t xml:space="preserve">Number Projected to Earn an F (or </t>
    </r>
    <r>
      <rPr>
        <i/>
        <sz val="11"/>
        <color theme="1"/>
        <rFont val="Calibri"/>
        <family val="2"/>
        <scheme val="minor"/>
      </rPr>
      <t>Does Not Meet</t>
    </r>
    <r>
      <rPr>
        <sz val="11"/>
        <color theme="1"/>
        <rFont val="Calibri"/>
        <family val="2"/>
        <scheme val="minor"/>
      </rPr>
      <t xml:space="preserve"> on ALT):</t>
    </r>
  </si>
  <si>
    <t>Number of Students Expected to take the ALT:</t>
  </si>
  <si>
    <t>Number of Students Expected to take the EOCEP:</t>
  </si>
  <si>
    <t>Number of Students Projected to Earn an A:</t>
  </si>
  <si>
    <t>Est. Rating</t>
  </si>
  <si>
    <t>Est. Overall Rating</t>
  </si>
  <si>
    <t>HS</t>
  </si>
  <si>
    <t>Biology 1 Participation Rate:</t>
  </si>
  <si>
    <t>USH&amp;C</t>
  </si>
  <si>
    <t>Biology 1</t>
  </si>
  <si>
    <r>
      <rPr>
        <b/>
        <i/>
        <sz val="9"/>
        <color theme="1"/>
        <rFont val="Calibri"/>
        <family val="2"/>
        <scheme val="minor"/>
      </rPr>
      <t>Notes:</t>
    </r>
    <r>
      <rPr>
        <i/>
        <sz val="9"/>
        <color theme="1"/>
        <rFont val="Calibri"/>
        <family val="2"/>
        <scheme val="minor"/>
      </rPr>
      <t xml:space="preserve"> Do not include students with a properly documented exclusion in the number projected for Not Tested. Participation rate is </t>
    </r>
    <r>
      <rPr>
        <b/>
        <i/>
        <u/>
        <sz val="9"/>
        <color theme="1"/>
        <rFont val="Calibri"/>
        <family val="2"/>
        <scheme val="minor"/>
      </rPr>
      <t>estimated</t>
    </r>
    <r>
      <rPr>
        <i/>
        <sz val="9"/>
        <color theme="1"/>
        <rFont val="Calibri"/>
        <family val="2"/>
        <scheme val="minor"/>
      </rPr>
      <t>, based on the information entered, as the percent of required Biology 1 tests that were taken. Consult the accountability manual for the correct calculation methods. Schools that test fewer than 95 percent of eligible students must submit a plan to the SCDE outlining how the school will increase the percentage of students tested.</t>
    </r>
  </si>
  <si>
    <t>Graduation Rate</t>
  </si>
  <si>
    <t>Number of Students Included in the Indicator:</t>
  </si>
  <si>
    <t>Number of students projected to graduate:</t>
  </si>
  <si>
    <r>
      <rPr>
        <b/>
        <i/>
        <sz val="9"/>
        <color theme="1"/>
        <rFont val="Calibri"/>
        <family val="2"/>
        <scheme val="minor"/>
      </rPr>
      <t>Notes:</t>
    </r>
    <r>
      <rPr>
        <i/>
        <sz val="9"/>
        <color theme="1"/>
        <rFont val="Calibri"/>
        <family val="2"/>
        <scheme val="minor"/>
      </rPr>
      <t xml:space="preserve"> Include early and on-time graduates in cell </t>
    </r>
    <r>
      <rPr>
        <sz val="9"/>
        <color theme="1"/>
        <rFont val="Calibri"/>
        <family val="2"/>
        <scheme val="minor"/>
      </rPr>
      <t>H49</t>
    </r>
    <r>
      <rPr>
        <i/>
        <sz val="9"/>
        <color theme="1"/>
        <rFont val="Calibri"/>
        <family val="2"/>
        <scheme val="minor"/>
      </rPr>
      <t xml:space="preserve">. Include </t>
    </r>
    <r>
      <rPr>
        <b/>
        <i/>
        <sz val="9"/>
        <color theme="1"/>
        <rFont val="Calibri"/>
        <family val="2"/>
        <scheme val="minor"/>
      </rPr>
      <t>ALL</t>
    </r>
    <r>
      <rPr>
        <i/>
        <sz val="9"/>
        <color theme="1"/>
        <rFont val="Calibri"/>
        <family val="2"/>
        <scheme val="minor"/>
      </rPr>
      <t xml:space="preserve"> students in the graduating cohort, regardless of outcome or status, in </t>
    </r>
    <r>
      <rPr>
        <sz val="9"/>
        <color theme="1"/>
        <rFont val="Calibri"/>
        <family val="2"/>
        <scheme val="minor"/>
      </rPr>
      <t>H50</t>
    </r>
    <r>
      <rPr>
        <i/>
        <sz val="9"/>
        <color theme="1"/>
        <rFont val="Calibri"/>
        <family val="2"/>
        <scheme val="minor"/>
      </rPr>
      <t>.</t>
    </r>
  </si>
  <si>
    <t>College &amp; Career Readiness</t>
  </si>
  <si>
    <t>Composite score ≥ 20 on the ACT:</t>
  </si>
  <si>
    <r>
      <t xml:space="preserve">Complete </t>
    </r>
    <r>
      <rPr>
        <sz val="11"/>
        <color theme="1"/>
        <rFont val="Calibri"/>
        <family val="2"/>
      </rPr>
      <t xml:space="preserve">≥ </t>
    </r>
    <r>
      <rPr>
        <sz val="11"/>
        <color theme="1"/>
        <rFont val="Calibri"/>
        <family val="2"/>
        <scheme val="minor"/>
      </rPr>
      <t>6 approved dual enrollment courses credits with ≥ C:</t>
    </r>
  </si>
  <si>
    <t>Score ≥ C on approved Cambridge International exam:</t>
  </si>
  <si>
    <t>Score ≥ 3 on an Advanced Placement (AP) exam:</t>
  </si>
  <si>
    <t>≥ 4 on International Baccalaureate (IB) higher learning (HL) exam:</t>
  </si>
  <si>
    <t>College Ready Designations</t>
  </si>
  <si>
    <t>CTE Completers w/ credential:</t>
  </si>
  <si>
    <t>Qualifying score on career readiness test:</t>
  </si>
  <si>
    <r>
      <t xml:space="preserve">Score </t>
    </r>
    <r>
      <rPr>
        <sz val="11"/>
        <color theme="1"/>
        <rFont val="Calibri"/>
        <family val="2"/>
      </rPr>
      <t>≥ 31 on ASVAB:</t>
    </r>
  </si>
  <si>
    <t>Complete state-approved work-based learning:</t>
  </si>
  <si>
    <t>Earn SC High School Employability Credential:</t>
  </si>
  <si>
    <t>Career Ready Designations</t>
  </si>
  <si>
    <t>Overall Projections</t>
  </si>
  <si>
    <r>
      <t xml:space="preserve">Projected to be College </t>
    </r>
    <r>
      <rPr>
        <b/>
        <i/>
        <sz val="8"/>
        <color theme="1"/>
        <rFont val="Calibri"/>
        <family val="2"/>
        <scheme val="minor"/>
      </rPr>
      <t>AND</t>
    </r>
    <r>
      <rPr>
        <sz val="8"/>
        <color theme="1"/>
        <rFont val="Calibri"/>
        <family val="2"/>
        <scheme val="minor"/>
      </rPr>
      <t xml:space="preserve"> Career Ready:</t>
    </r>
  </si>
  <si>
    <r>
      <t xml:space="preserve">Students Projected to be </t>
    </r>
    <r>
      <rPr>
        <b/>
        <sz val="8"/>
        <color theme="1"/>
        <rFont val="Calibri"/>
        <family val="2"/>
        <scheme val="minor"/>
      </rPr>
      <t>Career Ready</t>
    </r>
    <r>
      <rPr>
        <sz val="8"/>
        <color theme="1"/>
        <rFont val="Calibri"/>
        <family val="2"/>
        <scheme val="minor"/>
      </rPr>
      <t>:</t>
    </r>
  </si>
  <si>
    <r>
      <t xml:space="preserve">Students Projected to be </t>
    </r>
    <r>
      <rPr>
        <b/>
        <sz val="8"/>
        <color theme="1"/>
        <rFont val="Calibri"/>
        <family val="2"/>
        <scheme val="minor"/>
      </rPr>
      <t>College Ready</t>
    </r>
    <r>
      <rPr>
        <sz val="8"/>
        <color theme="1"/>
        <rFont val="Calibri"/>
        <family val="2"/>
        <scheme val="minor"/>
      </rPr>
      <t>:</t>
    </r>
  </si>
  <si>
    <r>
      <t xml:space="preserve">Students Projected to be College </t>
    </r>
    <r>
      <rPr>
        <b/>
        <i/>
        <sz val="8"/>
        <color theme="1"/>
        <rFont val="Calibri"/>
        <family val="2"/>
        <scheme val="minor"/>
      </rPr>
      <t>OR</t>
    </r>
    <r>
      <rPr>
        <sz val="8"/>
        <color theme="1"/>
        <rFont val="Calibri"/>
        <family val="2"/>
        <scheme val="minor"/>
      </rPr>
      <t xml:space="preserve"> Career Ready:</t>
    </r>
  </si>
  <si>
    <r>
      <rPr>
        <b/>
        <i/>
        <sz val="9"/>
        <color theme="1"/>
        <rFont val="Calibri"/>
        <family val="2"/>
        <scheme val="minor"/>
      </rPr>
      <t>Notes:</t>
    </r>
    <r>
      <rPr>
        <i/>
        <sz val="9"/>
        <color theme="1"/>
        <rFont val="Calibri"/>
        <family val="2"/>
        <scheme val="minor"/>
      </rPr>
      <t xml:space="preserve"> Estimated points and ratings use </t>
    </r>
    <r>
      <rPr>
        <b/>
        <i/>
        <sz val="9"/>
        <color theme="1"/>
        <rFont val="Calibri"/>
        <family val="2"/>
        <scheme val="minor"/>
      </rPr>
      <t>only</t>
    </r>
    <r>
      <rPr>
        <i/>
        <sz val="9"/>
        <color theme="1"/>
        <rFont val="Calibri"/>
        <family val="2"/>
        <scheme val="minor"/>
      </rPr>
      <t xml:space="preserve"> the number of students in the graduating cohort (cell </t>
    </r>
    <r>
      <rPr>
        <sz val="9"/>
        <color theme="1"/>
        <rFont val="Calibri"/>
        <family val="2"/>
        <scheme val="minor"/>
      </rPr>
      <t>H50</t>
    </r>
    <r>
      <rPr>
        <i/>
        <sz val="9"/>
        <color theme="1"/>
        <rFont val="Calibri"/>
        <family val="2"/>
        <scheme val="minor"/>
      </rPr>
      <t xml:space="preserve">) and the number of students designated as either college or carreer ready (cell </t>
    </r>
    <r>
      <rPr>
        <sz val="9"/>
        <color theme="1"/>
        <rFont val="Calibri"/>
        <family val="2"/>
        <scheme val="minor"/>
      </rPr>
      <t>J54</t>
    </r>
    <r>
      <rPr>
        <i/>
        <sz val="9"/>
        <color theme="1"/>
        <rFont val="Calibri"/>
        <family val="2"/>
        <scheme val="minor"/>
      </rPr>
      <t>). All other cells are provided for your own use and reference.</t>
    </r>
  </si>
  <si>
    <t>1st-year students projected to be on track:</t>
  </si>
  <si>
    <t>2nd-year projected to be on track:</t>
  </si>
  <si>
    <t>3rd-year students projected to be on track:</t>
  </si>
  <si>
    <t>1YOTG</t>
  </si>
  <si>
    <t>2YOTG</t>
  </si>
  <si>
    <t>High School Student Success</t>
  </si>
  <si>
    <t>3YOTG</t>
  </si>
  <si>
    <t>5YSSR</t>
  </si>
  <si>
    <t>Successful HS outcome within 5 years:</t>
  </si>
  <si>
    <t>Percent of students on-track or successful:</t>
  </si>
  <si>
    <t>Number of students included in the indicator:</t>
  </si>
  <si>
    <r>
      <rPr>
        <b/>
        <i/>
        <sz val="9"/>
        <color theme="1"/>
        <rFont val="Calibri"/>
        <family val="2"/>
        <scheme val="minor"/>
      </rPr>
      <t>INSTRUCTIONS:</t>
    </r>
    <r>
      <rPr>
        <i/>
        <sz val="9"/>
        <color theme="1"/>
        <rFont val="Calibri"/>
        <family val="2"/>
        <scheme val="minor"/>
      </rPr>
      <t xml:space="preserve"> Use this spreadsheet to estimate projected School Report Card Ratings based on local data. Enter information into the cells that are highlighted in yellow, </t>
    </r>
    <r>
      <rPr>
        <b/>
        <i/>
        <u/>
        <sz val="9"/>
        <color theme="1"/>
        <rFont val="Calibri"/>
        <family val="2"/>
        <scheme val="minor"/>
      </rPr>
      <t>only</t>
    </r>
    <r>
      <rPr>
        <i/>
        <sz val="9"/>
        <color theme="1"/>
        <rFont val="Calibri"/>
        <family val="2"/>
        <scheme val="minor"/>
      </rPr>
      <t>. All other fields are calculated. The workbook has not been locked or protected so that you may modify it as needed. If you need a fresh copy, you may download it at https://eoc.sc.gov/educators.</t>
    </r>
  </si>
  <si>
    <r>
      <t>Notes:</t>
    </r>
    <r>
      <rPr>
        <i/>
        <sz val="9"/>
        <color theme="1"/>
        <rFont val="Calibri"/>
        <family val="2"/>
        <scheme val="minor"/>
      </rPr>
      <t xml:space="preserve"> Do not include students with a properly documented exclusion in the number projected for Not Tested. Participation rate is estimated, based on the information entered, as the percent of required tests that were taken. Consult the accountability manual for the correct calculation methods.</t>
    </r>
  </si>
  <si>
    <r>
      <rPr>
        <b/>
        <i/>
        <sz val="9"/>
        <color theme="1"/>
        <rFont val="Calibri"/>
        <family val="2"/>
        <scheme val="minor"/>
      </rPr>
      <t>INSTRUCTIONS:</t>
    </r>
    <r>
      <rPr>
        <i/>
        <sz val="9"/>
        <color theme="1"/>
        <rFont val="Calibri"/>
        <family val="2"/>
        <scheme val="minor"/>
      </rPr>
      <t xml:space="preserve"> Use this spreadsheet to estimate projected School Report Card Ratings based on local data. Enter information into cells that are highlighted in yellow, </t>
    </r>
    <r>
      <rPr>
        <b/>
        <i/>
        <u/>
        <sz val="9"/>
        <color theme="1"/>
        <rFont val="Calibri"/>
        <family val="2"/>
        <scheme val="minor"/>
      </rPr>
      <t>only</t>
    </r>
    <r>
      <rPr>
        <i/>
        <sz val="9"/>
        <color theme="1"/>
        <rFont val="Calibri"/>
        <family val="2"/>
        <scheme val="minor"/>
      </rPr>
      <t>. All other fields are calculated. The workbook has not been locked or protected; you may modify it as needed. If you need a fresh copy, you may download it at https://eoc.sc.gov/educators.  Note that any high school which receives the Graduation Rate or the Academic Achievement indicator will receive a report card and an Overall Rating.</t>
    </r>
  </si>
  <si>
    <t>Weighted Points:</t>
  </si>
  <si>
    <t>Wtd. Points:</t>
  </si>
  <si>
    <t>ELA n</t>
  </si>
  <si>
    <t>Math n</t>
  </si>
  <si>
    <t>ELA % ≥ MAT</t>
  </si>
  <si>
    <t>ELA % ≥ AVT</t>
  </si>
  <si>
    <r>
      <t>ELA Target Points (RP</t>
    </r>
    <r>
      <rPr>
        <b/>
        <i/>
        <vertAlign val="subscript"/>
        <sz val="9"/>
        <color theme="1"/>
        <rFont val="Calibri"/>
        <family val="2"/>
        <scheme val="minor"/>
      </rPr>
      <t>T</t>
    </r>
    <r>
      <rPr>
        <b/>
        <i/>
        <sz val="9"/>
        <color theme="1"/>
        <rFont val="Calibri"/>
        <family val="2"/>
        <scheme val="minor"/>
      </rPr>
      <t>)</t>
    </r>
  </si>
  <si>
    <r>
      <t>ELA VAM Points (ISP</t>
    </r>
    <r>
      <rPr>
        <b/>
        <i/>
        <vertAlign val="subscript"/>
        <sz val="9"/>
        <color theme="1"/>
        <rFont val="Calibri"/>
        <family val="2"/>
        <scheme val="minor"/>
      </rPr>
      <t>Sch</t>
    </r>
    <r>
      <rPr>
        <b/>
        <i/>
        <sz val="9"/>
        <color theme="1"/>
        <rFont val="Calibri"/>
        <family val="2"/>
        <scheme val="minor"/>
      </rPr>
      <t>)</t>
    </r>
  </si>
  <si>
    <r>
      <t>ELA Pct. Points (RP</t>
    </r>
    <r>
      <rPr>
        <b/>
        <i/>
        <vertAlign val="subscript"/>
        <sz val="9"/>
        <color theme="1"/>
        <rFont val="Calibri"/>
        <family val="2"/>
        <scheme val="minor"/>
      </rPr>
      <t>P</t>
    </r>
    <r>
      <rPr>
        <b/>
        <i/>
        <sz val="9"/>
        <color theme="1"/>
        <rFont val="Calibri"/>
        <family val="2"/>
        <scheme val="minor"/>
      </rPr>
      <t>)</t>
    </r>
  </si>
  <si>
    <t>Math % ≥ MAT</t>
  </si>
  <si>
    <t>Math % ≥ AVT</t>
  </si>
  <si>
    <r>
      <t>Math Target Points (RP</t>
    </r>
    <r>
      <rPr>
        <b/>
        <i/>
        <vertAlign val="subscript"/>
        <sz val="9"/>
        <color theme="1"/>
        <rFont val="Calibri"/>
        <family val="2"/>
        <scheme val="minor"/>
      </rPr>
      <t>T</t>
    </r>
    <r>
      <rPr>
        <b/>
        <i/>
        <sz val="9"/>
        <color theme="1"/>
        <rFont val="Calibri"/>
        <family val="2"/>
        <scheme val="minor"/>
      </rPr>
      <t>)</t>
    </r>
  </si>
  <si>
    <r>
      <t>Math Pct. Points (RP</t>
    </r>
    <r>
      <rPr>
        <b/>
        <i/>
        <vertAlign val="subscript"/>
        <sz val="9"/>
        <color theme="1"/>
        <rFont val="Calibri"/>
        <family val="2"/>
        <scheme val="minor"/>
      </rPr>
      <t>P</t>
    </r>
    <r>
      <rPr>
        <b/>
        <i/>
        <sz val="9"/>
        <color theme="1"/>
        <rFont val="Calibri"/>
        <family val="2"/>
        <scheme val="minor"/>
      </rPr>
      <t>)</t>
    </r>
  </si>
  <si>
    <r>
      <t>Math VAM Points (ISP</t>
    </r>
    <r>
      <rPr>
        <b/>
        <i/>
        <vertAlign val="subscript"/>
        <sz val="9"/>
        <color theme="1"/>
        <rFont val="Calibri"/>
        <family val="2"/>
        <scheme val="minor"/>
      </rPr>
      <t>Sch</t>
    </r>
    <r>
      <rPr>
        <b/>
        <i/>
        <sz val="9"/>
        <color theme="1"/>
        <rFont val="Calibri"/>
        <family val="2"/>
        <scheme val="minor"/>
      </rPr>
      <t>)</t>
    </r>
  </si>
  <si>
    <r>
      <t xml:space="preserve">Number in </t>
    </r>
    <r>
      <rPr>
        <b/>
        <sz val="11"/>
        <color theme="1"/>
        <rFont val="Calibri"/>
        <family val="2"/>
        <scheme val="minor"/>
      </rPr>
      <t>PAB 5</t>
    </r>
    <r>
      <rPr>
        <sz val="11"/>
        <color theme="1"/>
        <rFont val="Calibri"/>
        <family val="2"/>
        <scheme val="minor"/>
      </rPr>
      <t xml:space="preserve"> (</t>
    </r>
    <r>
      <rPr>
        <b/>
        <i/>
        <sz val="11"/>
        <color theme="1"/>
        <rFont val="Calibri"/>
        <family val="2"/>
        <scheme val="minor"/>
      </rPr>
      <t>60</t>
    </r>
    <r>
      <rPr>
        <i/>
        <sz val="11"/>
        <color theme="1"/>
        <rFont val="Calibri"/>
        <family val="2"/>
        <scheme val="minor"/>
      </rPr>
      <t xml:space="preserve"> CGP</t>
    </r>
    <r>
      <rPr>
        <sz val="11"/>
        <color theme="1"/>
        <rFont val="Calibri"/>
        <family val="2"/>
        <scheme val="minor"/>
      </rPr>
      <t>) projected:</t>
    </r>
  </si>
  <si>
    <t>Math Student Progress</t>
  </si>
  <si>
    <t>ELA Student Progress</t>
  </si>
  <si>
    <t>Mathematics</t>
  </si>
  <si>
    <r>
      <t xml:space="preserve">Number of students included in the </t>
    </r>
    <r>
      <rPr>
        <b/>
        <sz val="11"/>
        <color theme="1"/>
        <rFont val="Calibri"/>
        <family val="2"/>
        <scheme val="minor"/>
      </rPr>
      <t>9GR23</t>
    </r>
    <r>
      <rPr>
        <sz val="11"/>
        <color theme="1"/>
        <rFont val="Calibri"/>
        <family val="2"/>
        <scheme val="minor"/>
      </rPr>
      <t xml:space="preserve"> chohort:</t>
    </r>
  </si>
  <si>
    <t>Total score ≥ 1040 on the SAT:</t>
  </si>
  <si>
    <r>
      <rPr>
        <b/>
        <i/>
        <sz val="9"/>
        <color theme="1"/>
        <rFont val="Calibri"/>
        <family val="2"/>
        <scheme val="minor"/>
      </rPr>
      <t xml:space="preserve">Notes: </t>
    </r>
    <r>
      <rPr>
        <i/>
        <sz val="9"/>
        <color theme="1"/>
        <rFont val="Calibri"/>
        <family val="2"/>
        <scheme val="minor"/>
      </rPr>
      <t>In the first column, enter the number of students who are projected to score below their MAT and below their AVT; in the middle column, enter all students projected to score above their MAT (including those projected to score above their AVT, as well); and in the final column, enter the students who are projected to score above their AVT. The number of students projected to earn Partial AV Points is calculated as Culumn H minus Column I. All students projected to earn Partial AV Points are estimated to earn half of the Partial AV Points available to them. You may wish to estimate VAM Points by referring to School Report Cards from previous years and adjusting based on current year data.</t>
    </r>
  </si>
  <si>
    <r>
      <t xml:space="preserve">The </t>
    </r>
    <r>
      <rPr>
        <b/>
        <i/>
        <sz val="8"/>
        <color theme="1"/>
        <rFont val="Calibri"/>
        <family val="2"/>
        <scheme val="minor"/>
      </rPr>
      <t>Participation Rate</t>
    </r>
    <r>
      <rPr>
        <i/>
        <sz val="8"/>
        <color theme="1"/>
        <rFont val="Calibri"/>
        <family val="2"/>
        <scheme val="minor"/>
      </rPr>
      <t xml:space="preserve"> is the percent of ML TPR who have a test score (regardless of where tested).</t>
    </r>
  </si>
  <si>
    <r>
      <t>Number of ML students included in the indicator (</t>
    </r>
    <r>
      <rPr>
        <b/>
        <sz val="11"/>
        <color theme="1"/>
        <rFont val="Calibri"/>
        <family val="2"/>
        <scheme val="minor"/>
      </rPr>
      <t>ML SII</t>
    </r>
    <r>
      <rPr>
        <sz val="11"/>
        <color theme="1"/>
        <rFont val="Calibri"/>
        <family val="2"/>
        <scheme val="minor"/>
      </rPr>
      <t>):</t>
    </r>
  </si>
  <si>
    <r>
      <t>Number of MLs enrolled for at least 20 days during the ELP test window (</t>
    </r>
    <r>
      <rPr>
        <b/>
        <sz val="11"/>
        <color theme="1"/>
        <rFont val="Calibri"/>
        <family val="2"/>
        <scheme val="minor"/>
      </rPr>
      <t>ML TPR</t>
    </r>
    <r>
      <rPr>
        <sz val="11"/>
        <color theme="1"/>
        <rFont val="Calibri"/>
        <family val="2"/>
        <scheme val="minor"/>
      </rPr>
      <t>):</t>
    </r>
  </si>
  <si>
    <r>
      <t xml:space="preserve">Number of </t>
    </r>
    <r>
      <rPr>
        <b/>
        <sz val="11"/>
        <color theme="1"/>
        <rFont val="Calibri"/>
        <family val="2"/>
        <scheme val="minor"/>
      </rPr>
      <t>ML SII</t>
    </r>
    <r>
      <rPr>
        <sz val="11"/>
        <color theme="1"/>
        <rFont val="Calibri"/>
        <family val="2"/>
        <scheme val="minor"/>
      </rPr>
      <t xml:space="preserve"> who are projected to demonstrate growth:</t>
    </r>
  </si>
  <si>
    <r>
      <t xml:space="preserve">Number of </t>
    </r>
    <r>
      <rPr>
        <b/>
        <sz val="11"/>
        <color theme="1"/>
        <rFont val="Calibri"/>
        <family val="2"/>
        <scheme val="minor"/>
      </rPr>
      <t>ML TPR</t>
    </r>
    <r>
      <rPr>
        <sz val="11"/>
        <color theme="1"/>
        <rFont val="Calibri"/>
        <family val="2"/>
        <scheme val="minor"/>
      </rPr>
      <t xml:space="preserve"> who have a test score:</t>
    </r>
  </si>
  <si>
    <r>
      <rPr>
        <b/>
        <i/>
        <sz val="9"/>
        <color theme="1"/>
        <rFont val="Calibri"/>
        <family val="2"/>
        <scheme val="minor"/>
      </rPr>
      <t>Notes:</t>
    </r>
    <r>
      <rPr>
        <i/>
        <sz val="9"/>
        <color theme="1"/>
        <rFont val="Calibri"/>
        <family val="2"/>
        <scheme val="minor"/>
      </rPr>
      <t xml:space="preserve"> For ML SII, only include MLs who are both (a) continuously enrolled from Day 45 to the ELP test window and (b) who either have an ELP score or who are also included in ML TPR but did not take the test. Points earned are adjusted by </t>
    </r>
    <r>
      <rPr>
        <b/>
        <i/>
        <sz val="9"/>
        <color theme="1"/>
        <rFont val="Calibri"/>
        <family val="2"/>
        <scheme val="minor"/>
      </rPr>
      <t>Participation Rate</t>
    </r>
    <r>
      <rPr>
        <i/>
        <sz val="9"/>
        <color theme="1"/>
        <rFont val="Calibri"/>
        <family val="2"/>
        <scheme val="minor"/>
      </rPr>
      <t xml:space="preserve"> and are left unadjusted in this simulator if </t>
    </r>
    <r>
      <rPr>
        <b/>
        <i/>
        <sz val="9"/>
        <color theme="1"/>
        <rFont val="Calibri"/>
        <family val="2"/>
        <scheme val="minor"/>
      </rPr>
      <t>Participation Rate</t>
    </r>
    <r>
      <rPr>
        <i/>
        <sz val="9"/>
        <color theme="1"/>
        <rFont val="Calibri"/>
        <family val="2"/>
        <scheme val="minor"/>
      </rPr>
      <t xml:space="preserve"> is not calculated.</t>
    </r>
  </si>
  <si>
    <t>Earned the SC Seal of Biliteracy:</t>
  </si>
  <si>
    <r>
      <t>2027 School Report Card Simulator</t>
    </r>
    <r>
      <rPr>
        <sz val="14"/>
        <color theme="1"/>
        <rFont val="Arial"/>
        <family val="2"/>
      </rPr>
      <t xml:space="preserve"> (v 1.0.0; 8/19/2026)</t>
    </r>
  </si>
  <si>
    <r>
      <rPr>
        <b/>
        <i/>
        <sz val="9"/>
        <color theme="1"/>
        <rFont val="Calibri"/>
        <family val="2"/>
        <scheme val="minor"/>
      </rPr>
      <t>Notes:</t>
    </r>
    <r>
      <rPr>
        <i/>
        <sz val="9"/>
        <color theme="1"/>
        <rFont val="Calibri"/>
        <family val="2"/>
        <scheme val="minor"/>
      </rPr>
      <t xml:space="preserve"> Refer to the most recent Accountability Manual for details on the requirements for students to be considered on-track or having obtained a successful high school outcome.</t>
    </r>
  </si>
  <si>
    <r>
      <t># students in 1st-year cohort (</t>
    </r>
    <r>
      <rPr>
        <b/>
        <sz val="11"/>
        <color theme="1"/>
        <rFont val="Calibri"/>
        <family val="2"/>
        <scheme val="minor"/>
      </rPr>
      <t>9GR27</t>
    </r>
    <r>
      <rPr>
        <sz val="11"/>
        <color theme="1"/>
        <rFont val="Calibri"/>
        <family val="2"/>
        <scheme val="minor"/>
      </rPr>
      <t>):</t>
    </r>
  </si>
  <si>
    <r>
      <t># of students in 1st-year cohort (</t>
    </r>
    <r>
      <rPr>
        <b/>
        <sz val="11"/>
        <color theme="1"/>
        <rFont val="Calibri"/>
        <family val="2"/>
        <scheme val="minor"/>
      </rPr>
      <t>9GR25</t>
    </r>
    <r>
      <rPr>
        <sz val="11"/>
        <color theme="1"/>
        <rFont val="Calibri"/>
        <family val="2"/>
        <scheme val="minor"/>
      </rPr>
      <t>):</t>
    </r>
  </si>
  <si>
    <r>
      <t># students in 2nd-year cohort (</t>
    </r>
    <r>
      <rPr>
        <b/>
        <sz val="11"/>
        <color theme="1"/>
        <rFont val="Calibri"/>
        <family val="2"/>
        <scheme val="minor"/>
      </rPr>
      <t>9GR26</t>
    </r>
    <r>
      <rPr>
        <sz val="11"/>
        <color theme="1"/>
        <rFont val="Calibri"/>
        <family val="2"/>
        <scheme val="minor"/>
      </rPr>
      <t>):</t>
    </r>
  </si>
  <si>
    <r>
      <t># students in 1st-year cohort (</t>
    </r>
    <r>
      <rPr>
        <b/>
        <sz val="11"/>
        <color theme="1"/>
        <rFont val="Calibri"/>
        <family val="2"/>
        <scheme val="minor"/>
      </rPr>
      <t>9GR23</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</si>
</sst>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font>
    <font>
      <sz val="11"/>
      <color theme="1"/>
      <name val="Calibri"/>
      <family val="2"/>
      <scheme val="minor"/>
    </font>
    <font>
      <b/>
      <sz val="11"/>
      <color theme="1"/>
      <name val="Calibri"/>
      <family val="2"/>
      <scheme val="minor"/>
    </font>
    <font>
      <b/>
      <sz val="18"/>
      <color theme="1"/>
      <name val="Arial"/>
      <family val="2"/>
    </font>
    <font>
      <i/>
      <sz val="11"/>
      <color theme="1"/>
      <name val="Calibri"/>
      <family val="2"/>
      <scheme val="minor"/>
    </font>
    <font>
      <b/>
      <i/>
      <sz val="11"/>
      <color theme="1"/>
      <name val="Calibri"/>
      <family val="2"/>
      <scheme val="minor"/>
    </font>
    <font>
      <b/>
      <sz val="10"/>
      <color theme="1"/>
      <name val="Calibri"/>
      <family val="2"/>
      <scheme val="minor"/>
    </font>
    <font>
      <b/>
      <sz val="20"/>
      <name val="Calibri"/>
      <family val="2"/>
      <scheme val="minor"/>
    </font>
    <font>
      <b/>
      <sz val="11"/>
      <name val="Calibri"/>
      <family val="2"/>
      <scheme val="minor"/>
    </font>
    <font>
      <b/>
      <i/>
      <sz val="10"/>
      <color theme="1"/>
      <name val="Calibri"/>
      <family val="2"/>
      <scheme val="minor"/>
    </font>
    <font>
      <i/>
      <sz val="9"/>
      <color theme="1"/>
      <name val="Calibri"/>
      <family val="2"/>
      <scheme val="minor"/>
    </font>
    <font>
      <b/>
      <i/>
      <sz val="9"/>
      <color theme="1"/>
      <name val="Calibri"/>
      <family val="2"/>
      <scheme val="minor"/>
    </font>
    <font>
      <b/>
      <i/>
      <u/>
      <sz val="9"/>
      <color theme="1"/>
      <name val="Calibri"/>
      <family val="2"/>
      <scheme val="minor"/>
    </font>
    <font>
      <b/>
      <sz val="9"/>
      <color theme="1"/>
      <name val="Calibri"/>
      <family val="2"/>
      <scheme val="minor"/>
    </font>
    <font>
      <b/>
      <sz val="9"/>
      <color theme="1" tint="0.499984740745262"/>
      <name val="Calibri"/>
      <family val="2"/>
      <scheme val="minor"/>
    </font>
    <font>
      <b/>
      <sz val="11"/>
      <color theme="1" tint="0.499984740745262"/>
      <name val="Calibri"/>
      <family val="2"/>
      <scheme val="minor"/>
    </font>
    <font>
      <sz val="11"/>
      <color theme="1" tint="0.499984740745262"/>
      <name val="Calibri"/>
      <family val="2"/>
      <scheme val="minor"/>
    </font>
    <font>
      <b/>
      <sz val="10"/>
      <color theme="1" tint="0.499984740745262"/>
      <name val="Calibri"/>
      <family val="2"/>
      <scheme val="minor"/>
    </font>
    <font>
      <sz val="14"/>
      <color theme="1"/>
      <name val="Arial"/>
      <family val="2"/>
    </font>
    <font>
      <b/>
      <i/>
      <sz val="8"/>
      <color theme="1"/>
      <name val="Calibri"/>
      <family val="2"/>
      <scheme val="minor"/>
    </font>
    <font>
      <sz val="9"/>
      <color theme="1"/>
      <name val="Calibri"/>
      <family val="2"/>
      <scheme val="minor"/>
    </font>
    <font>
      <sz val="8"/>
      <color theme="1"/>
      <name val="Calibri"/>
      <family val="2"/>
      <scheme val="minor"/>
    </font>
    <font>
      <b/>
      <sz val="8"/>
      <color theme="1"/>
      <name val="Calibri"/>
      <family val="2"/>
      <scheme val="minor"/>
    </font>
    <font>
      <b/>
      <i/>
      <vertAlign val="subscript"/>
      <sz val="9"/>
      <color theme="1"/>
      <name val="Calibri"/>
      <family val="2"/>
      <scheme val="minor"/>
    </font>
    <font>
      <b/>
      <sz val="14"/>
      <color theme="1"/>
      <name val="Arial"/>
      <family val="2"/>
    </font>
    <font>
      <i/>
      <sz val="8"/>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s>
  <borders count="86">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indexed="64"/>
      </left>
      <right/>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dotted">
        <color indexed="64"/>
      </left>
      <right/>
      <top style="dotted">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tted">
        <color auto="1"/>
      </left>
      <right style="dotted">
        <color auto="1"/>
      </right>
      <top style="dotted">
        <color auto="1"/>
      </top>
      <bottom style="dotted">
        <color auto="1"/>
      </bottom>
      <diagonal/>
    </border>
    <border>
      <left style="dotted">
        <color auto="1"/>
      </left>
      <right style="dotted">
        <color auto="1"/>
      </right>
      <top style="thin">
        <color indexed="64"/>
      </top>
      <bottom style="dotted">
        <color auto="1"/>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right style="thin">
        <color indexed="64"/>
      </right>
      <top style="medium">
        <color indexed="64"/>
      </top>
      <bottom/>
      <diagonal/>
    </border>
    <border>
      <left style="thin">
        <color indexed="64"/>
      </left>
      <right/>
      <top style="dotted">
        <color indexed="64"/>
      </top>
      <bottom style="thin">
        <color indexed="64"/>
      </bottom>
      <diagonal/>
    </border>
    <border>
      <left style="thin">
        <color indexed="64"/>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dotted">
        <color indexed="64"/>
      </right>
      <top style="dotted">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dotted">
        <color auto="1"/>
      </top>
      <bottom style="dotted">
        <color auto="1"/>
      </bottom>
      <diagonal/>
    </border>
    <border>
      <left style="thin">
        <color indexed="64"/>
      </left>
      <right/>
      <top style="thin">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style="dotted">
        <color indexed="64"/>
      </top>
      <bottom/>
      <diagonal/>
    </border>
    <border>
      <left style="thin">
        <color indexed="64"/>
      </left>
      <right style="thin">
        <color indexed="64"/>
      </right>
      <top/>
      <bottom style="dotted">
        <color indexed="64"/>
      </bottom>
      <diagonal/>
    </border>
    <border>
      <left style="thin">
        <color indexed="64"/>
      </left>
      <right/>
      <top style="thin">
        <color indexed="64"/>
      </top>
      <bottom/>
      <diagonal/>
    </border>
    <border>
      <left style="dotted">
        <color auto="1"/>
      </left>
      <right style="medium">
        <color indexed="64"/>
      </right>
      <top style="dotted">
        <color auto="1"/>
      </top>
      <bottom style="dotted">
        <color auto="1"/>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9" fontId="2" fillId="0" borderId="0" applyFont="0" applyFill="0" applyBorder="0" applyAlignment="0" applyProtection="0"/>
  </cellStyleXfs>
  <cellXfs count="235">
    <xf numFmtId="0" fontId="0" fillId="0" borderId="0" xfId="0"/>
    <xf numFmtId="0" fontId="0" fillId="4" borderId="7" xfId="0" applyFill="1" applyBorder="1" applyAlignment="1">
      <alignment horizontal="center" vertical="center"/>
    </xf>
    <xf numFmtId="0" fontId="0" fillId="4" borderId="9"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3" fillId="0" borderId="19" xfId="0" applyFont="1" applyBorder="1" applyAlignment="1">
      <alignment horizontal="right"/>
    </xf>
    <xf numFmtId="0" fontId="0" fillId="0" borderId="19" xfId="0" applyBorder="1" applyAlignment="1">
      <alignment horizontal="right"/>
    </xf>
    <xf numFmtId="0" fontId="0" fillId="0" borderId="20" xfId="0" applyBorder="1"/>
    <xf numFmtId="0" fontId="0" fillId="0" borderId="21" xfId="0" applyBorder="1" applyAlignment="1">
      <alignment horizontal="right"/>
    </xf>
    <xf numFmtId="2" fontId="7" fillId="5" borderId="30" xfId="0" applyNumberFormat="1" applyFont="1" applyFill="1" applyBorder="1" applyAlignment="1">
      <alignment horizontal="center" vertical="center"/>
    </xf>
    <xf numFmtId="0" fontId="7" fillId="5" borderId="31" xfId="0" applyFont="1" applyFill="1" applyBorder="1" applyAlignment="1">
      <alignment horizontal="center" vertical="center"/>
    </xf>
    <xf numFmtId="0" fontId="7" fillId="5" borderId="32" xfId="0" applyFont="1" applyFill="1" applyBorder="1" applyAlignment="1">
      <alignment horizontal="center" vertical="center"/>
    </xf>
    <xf numFmtId="2" fontId="7" fillId="5" borderId="33" xfId="0" applyNumberFormat="1" applyFont="1" applyFill="1" applyBorder="1" applyAlignment="1">
      <alignment horizontal="center" vertical="center"/>
    </xf>
    <xf numFmtId="0" fontId="0" fillId="0" borderId="17" xfId="0" applyBorder="1"/>
    <xf numFmtId="0" fontId="3" fillId="0" borderId="34" xfId="0" applyFont="1" applyBorder="1" applyAlignment="1">
      <alignment vertical="center"/>
    </xf>
    <xf numFmtId="0" fontId="3" fillId="0" borderId="20" xfId="0" applyFont="1" applyBorder="1" applyAlignment="1">
      <alignment vertical="center"/>
    </xf>
    <xf numFmtId="0" fontId="3" fillId="0" borderId="20" xfId="0" applyFont="1" applyBorder="1" applyAlignment="1">
      <alignment horizontal="right" vertical="center"/>
    </xf>
    <xf numFmtId="0" fontId="0" fillId="4" borderId="37" xfId="0" applyFill="1" applyBorder="1" applyAlignment="1">
      <alignment horizontal="center" vertical="center"/>
    </xf>
    <xf numFmtId="0" fontId="3" fillId="3" borderId="10" xfId="0" applyFont="1" applyFill="1" applyBorder="1" applyAlignment="1">
      <alignment horizontal="center" vertical="center"/>
    </xf>
    <xf numFmtId="164" fontId="3" fillId="3" borderId="10" xfId="1" applyNumberFormat="1" applyFont="1" applyFill="1" applyBorder="1" applyAlignment="1">
      <alignment horizontal="center" vertical="center"/>
    </xf>
    <xf numFmtId="0" fontId="0" fillId="0" borderId="0" xfId="0" applyAlignment="1">
      <alignment horizontal="right"/>
    </xf>
    <xf numFmtId="0" fontId="3" fillId="3" borderId="26" xfId="0" applyFont="1" applyFill="1" applyBorder="1" applyAlignment="1">
      <alignment horizontal="center" vertical="center"/>
    </xf>
    <xf numFmtId="164" fontId="3" fillId="3" borderId="26" xfId="1" applyNumberFormat="1" applyFont="1" applyFill="1" applyBorder="1" applyAlignment="1">
      <alignment horizontal="center" vertical="center"/>
    </xf>
    <xf numFmtId="2" fontId="7" fillId="3" borderId="10" xfId="0" applyNumberFormat="1" applyFont="1" applyFill="1" applyBorder="1" applyAlignment="1">
      <alignment horizontal="center" vertical="center"/>
    </xf>
    <xf numFmtId="0" fontId="0" fillId="4" borderId="40" xfId="0" applyFill="1" applyBorder="1" applyAlignment="1">
      <alignment horizontal="center" vertical="center"/>
    </xf>
    <xf numFmtId="0" fontId="0" fillId="4" borderId="41" xfId="0" applyFill="1" applyBorder="1" applyAlignment="1">
      <alignment horizontal="center" vertical="center"/>
    </xf>
    <xf numFmtId="0" fontId="0" fillId="0" borderId="3" xfId="0" applyBorder="1"/>
    <xf numFmtId="0" fontId="0" fillId="0" borderId="1" xfId="0" applyBorder="1"/>
    <xf numFmtId="0" fontId="10" fillId="6" borderId="38" xfId="0" applyFont="1" applyFill="1" applyBorder="1" applyAlignment="1">
      <alignment horizontal="center"/>
    </xf>
    <xf numFmtId="0" fontId="10" fillId="6" borderId="39" xfId="0" applyFont="1" applyFill="1" applyBorder="1" applyAlignment="1">
      <alignment horizontal="center"/>
    </xf>
    <xf numFmtId="0" fontId="3" fillId="3" borderId="36" xfId="0" applyFont="1" applyFill="1" applyBorder="1" applyAlignment="1">
      <alignment horizontal="center" vertical="center"/>
    </xf>
    <xf numFmtId="0" fontId="0" fillId="0" borderId="20" xfId="0" applyBorder="1" applyAlignment="1">
      <alignment horizontal="right"/>
    </xf>
    <xf numFmtId="0" fontId="6" fillId="6" borderId="42" xfId="0" applyFont="1" applyFill="1" applyBorder="1" applyAlignment="1">
      <alignment horizontal="center"/>
    </xf>
    <xf numFmtId="0" fontId="0" fillId="0" borderId="34" xfId="0" applyBorder="1"/>
    <xf numFmtId="0" fontId="0" fillId="3" borderId="46" xfId="0" applyFill="1" applyBorder="1" applyAlignment="1">
      <alignment horizontal="center" vertical="center"/>
    </xf>
    <xf numFmtId="0" fontId="0" fillId="3" borderId="47" xfId="0" applyFill="1" applyBorder="1" applyAlignment="1">
      <alignment horizontal="center" vertical="center"/>
    </xf>
    <xf numFmtId="0" fontId="0" fillId="3" borderId="48" xfId="0" applyFill="1" applyBorder="1" applyAlignment="1">
      <alignment horizontal="center" vertical="center"/>
    </xf>
    <xf numFmtId="164" fontId="9" fillId="3" borderId="25" xfId="1" applyNumberFormat="1" applyFont="1" applyFill="1" applyBorder="1" applyAlignment="1">
      <alignment horizontal="center" vertical="center"/>
    </xf>
    <xf numFmtId="0" fontId="0" fillId="4" borderId="51" xfId="0" applyFill="1" applyBorder="1" applyAlignment="1">
      <alignment horizontal="center" vertical="center"/>
    </xf>
    <xf numFmtId="0" fontId="0" fillId="4" borderId="53" xfId="0" applyFill="1" applyBorder="1" applyAlignment="1">
      <alignment horizontal="center" vertical="center"/>
    </xf>
    <xf numFmtId="0" fontId="12" fillId="0" borderId="3" xfId="0" applyFont="1" applyBorder="1" applyAlignment="1">
      <alignment vertical="top" wrapText="1"/>
    </xf>
    <xf numFmtId="0" fontId="12" fillId="0" borderId="1" xfId="0" applyFont="1" applyBorder="1" applyAlignment="1">
      <alignment vertical="top" wrapText="1"/>
    </xf>
    <xf numFmtId="0" fontId="3" fillId="0" borderId="49" xfId="0" applyFont="1" applyBorder="1" applyAlignment="1">
      <alignment horizontal="right"/>
    </xf>
    <xf numFmtId="0" fontId="0" fillId="0" borderId="5" xfId="0" applyBorder="1"/>
    <xf numFmtId="0" fontId="0" fillId="0" borderId="2" xfId="0" applyBorder="1"/>
    <xf numFmtId="0" fontId="0" fillId="4" borderId="58" xfId="0" applyFill="1" applyBorder="1" applyAlignment="1">
      <alignment horizontal="center" vertical="center"/>
    </xf>
    <xf numFmtId="2" fontId="7" fillId="4" borderId="30" xfId="0" applyNumberFormat="1" applyFont="1" applyFill="1" applyBorder="1" applyAlignment="1">
      <alignment horizontal="center" vertical="center"/>
    </xf>
    <xf numFmtId="0" fontId="14" fillId="2" borderId="28" xfId="0" applyFont="1" applyFill="1" applyBorder="1" applyAlignment="1">
      <alignment horizontal="center" vertical="center"/>
    </xf>
    <xf numFmtId="0" fontId="14" fillId="2" borderId="29" xfId="0" applyFont="1" applyFill="1" applyBorder="1" applyAlignment="1">
      <alignment horizontal="center" vertical="center"/>
    </xf>
    <xf numFmtId="0" fontId="14" fillId="2" borderId="27" xfId="0" applyFont="1" applyFill="1" applyBorder="1" applyAlignment="1">
      <alignment horizontal="center" vertical="center"/>
    </xf>
    <xf numFmtId="2" fontId="7" fillId="3" borderId="55" xfId="0" applyNumberFormat="1" applyFont="1" applyFill="1" applyBorder="1" applyAlignment="1">
      <alignment horizontal="center" vertical="center"/>
    </xf>
    <xf numFmtId="2" fontId="7" fillId="3" borderId="24" xfId="0" applyNumberFormat="1" applyFont="1" applyFill="1" applyBorder="1" applyAlignment="1">
      <alignment horizontal="center" vertical="center"/>
    </xf>
    <xf numFmtId="2" fontId="7" fillId="3" borderId="33" xfId="0" applyNumberFormat="1" applyFont="1" applyFill="1" applyBorder="1" applyAlignment="1">
      <alignment horizontal="center" vertical="center"/>
    </xf>
    <xf numFmtId="2" fontId="7" fillId="5" borderId="60" xfId="0" applyNumberFormat="1" applyFont="1" applyFill="1" applyBorder="1" applyAlignment="1">
      <alignment horizontal="center" vertical="center"/>
    </xf>
    <xf numFmtId="2" fontId="7" fillId="3" borderId="29" xfId="0" applyNumberFormat="1" applyFont="1" applyFill="1" applyBorder="1" applyAlignment="1">
      <alignment horizontal="center" vertical="center"/>
    </xf>
    <xf numFmtId="2" fontId="7" fillId="5" borderId="61" xfId="0" applyNumberFormat="1" applyFont="1" applyFill="1" applyBorder="1" applyAlignment="1">
      <alignment horizontal="center" vertical="center"/>
    </xf>
    <xf numFmtId="2" fontId="7" fillId="3" borderId="42" xfId="0" applyNumberFormat="1" applyFont="1" applyFill="1" applyBorder="1" applyAlignment="1">
      <alignment horizontal="center" vertical="center"/>
    </xf>
    <xf numFmtId="2" fontId="7" fillId="3" borderId="62" xfId="0" applyNumberFormat="1" applyFont="1" applyFill="1" applyBorder="1" applyAlignment="1">
      <alignment horizontal="center" vertical="center"/>
    </xf>
    <xf numFmtId="1" fontId="0" fillId="0" borderId="0" xfId="0" applyNumberFormat="1"/>
    <xf numFmtId="0" fontId="16" fillId="6" borderId="27" xfId="0" applyFont="1" applyFill="1" applyBorder="1" applyAlignment="1">
      <alignment horizontal="center"/>
    </xf>
    <xf numFmtId="0" fontId="16" fillId="6" borderId="55" xfId="0" applyFont="1" applyFill="1" applyBorder="1" applyAlignment="1">
      <alignment horizontal="center"/>
    </xf>
    <xf numFmtId="0" fontId="16" fillId="6" borderId="63" xfId="0" applyFont="1" applyFill="1" applyBorder="1" applyAlignment="1">
      <alignment horizontal="center"/>
    </xf>
    <xf numFmtId="0" fontId="18" fillId="6" borderId="64" xfId="0" applyFont="1" applyFill="1" applyBorder="1" applyAlignment="1">
      <alignment horizontal="center" vertical="center"/>
    </xf>
    <xf numFmtId="0" fontId="18" fillId="6" borderId="65" xfId="0" applyFont="1" applyFill="1" applyBorder="1" applyAlignment="1">
      <alignment horizontal="center" vertical="center"/>
    </xf>
    <xf numFmtId="0" fontId="16" fillId="6" borderId="56" xfId="0" applyFont="1" applyFill="1" applyBorder="1" applyAlignment="1">
      <alignment horizontal="center"/>
    </xf>
    <xf numFmtId="1" fontId="17" fillId="6" borderId="17" xfId="0" applyNumberFormat="1" applyFont="1" applyFill="1" applyBorder="1" applyAlignment="1">
      <alignment horizontal="center"/>
    </xf>
    <xf numFmtId="1" fontId="17" fillId="6" borderId="19" xfId="0" applyNumberFormat="1" applyFont="1" applyFill="1" applyBorder="1" applyAlignment="1">
      <alignment horizontal="center"/>
    </xf>
    <xf numFmtId="2" fontId="17" fillId="6" borderId="54" xfId="0" applyNumberFormat="1" applyFont="1" applyFill="1" applyBorder="1" applyAlignment="1">
      <alignment horizontal="center"/>
    </xf>
    <xf numFmtId="2" fontId="17" fillId="6" borderId="19" xfId="0" applyNumberFormat="1" applyFont="1" applyFill="1" applyBorder="1" applyAlignment="1">
      <alignment horizontal="center"/>
    </xf>
    <xf numFmtId="1" fontId="17" fillId="6" borderId="5" xfId="0" applyNumberFormat="1" applyFont="1" applyFill="1" applyBorder="1" applyAlignment="1">
      <alignment horizontal="center"/>
    </xf>
    <xf numFmtId="1" fontId="17" fillId="6" borderId="57" xfId="0" applyNumberFormat="1" applyFont="1" applyFill="1" applyBorder="1" applyAlignment="1">
      <alignment horizontal="center"/>
    </xf>
    <xf numFmtId="2" fontId="17" fillId="6" borderId="59" xfId="0" applyNumberFormat="1" applyFont="1" applyFill="1" applyBorder="1" applyAlignment="1">
      <alignment horizontal="center"/>
    </xf>
    <xf numFmtId="2" fontId="17" fillId="6" borderId="57" xfId="0" applyNumberFormat="1" applyFont="1" applyFill="1" applyBorder="1" applyAlignment="1">
      <alignment horizontal="center"/>
    </xf>
    <xf numFmtId="0" fontId="16" fillId="6" borderId="28" xfId="0" applyFont="1" applyFill="1" applyBorder="1" applyAlignment="1">
      <alignment horizontal="center"/>
    </xf>
    <xf numFmtId="2" fontId="17" fillId="6" borderId="0" xfId="0" applyNumberFormat="1" applyFont="1" applyFill="1" applyAlignment="1">
      <alignment horizontal="center"/>
    </xf>
    <xf numFmtId="2" fontId="17" fillId="6" borderId="2" xfId="0" applyNumberFormat="1" applyFont="1" applyFill="1" applyBorder="1" applyAlignment="1">
      <alignment horizontal="center"/>
    </xf>
    <xf numFmtId="0" fontId="8" fillId="0" borderId="0" xfId="0" applyFont="1" applyAlignment="1">
      <alignment vertical="center"/>
    </xf>
    <xf numFmtId="0" fontId="0" fillId="4" borderId="66" xfId="0" applyFill="1" applyBorder="1" applyAlignment="1">
      <alignment horizontal="center" vertical="center"/>
    </xf>
    <xf numFmtId="0" fontId="0" fillId="0" borderId="49" xfId="0" applyBorder="1" applyAlignment="1">
      <alignment horizontal="right"/>
    </xf>
    <xf numFmtId="164" fontId="3" fillId="3" borderId="25" xfId="1" applyNumberFormat="1" applyFont="1" applyFill="1" applyBorder="1" applyAlignment="1">
      <alignment horizontal="center" vertical="center"/>
    </xf>
    <xf numFmtId="0" fontId="0" fillId="0" borderId="2" xfId="0" applyBorder="1" applyAlignment="1">
      <alignment horizontal="right"/>
    </xf>
    <xf numFmtId="0" fontId="0" fillId="0" borderId="18" xfId="0" applyBorder="1"/>
    <xf numFmtId="0" fontId="0" fillId="0" borderId="18" xfId="0" applyBorder="1" applyAlignment="1">
      <alignment horizontal="right"/>
    </xf>
    <xf numFmtId="0" fontId="0" fillId="0" borderId="45" xfId="0" applyBorder="1"/>
    <xf numFmtId="0" fontId="0" fillId="7" borderId="53" xfId="0" applyFill="1" applyBorder="1" applyAlignment="1">
      <alignment horizontal="center" vertical="center"/>
    </xf>
    <xf numFmtId="0" fontId="0" fillId="7" borderId="72" xfId="0" applyFill="1" applyBorder="1" applyAlignment="1">
      <alignment horizontal="center" vertical="center"/>
    </xf>
    <xf numFmtId="0" fontId="0" fillId="7" borderId="15" xfId="0" applyFill="1" applyBorder="1" applyAlignment="1">
      <alignment horizontal="center" vertical="center"/>
    </xf>
    <xf numFmtId="0" fontId="0" fillId="7" borderId="58" xfId="0" applyFill="1" applyBorder="1" applyAlignment="1">
      <alignment horizontal="center" vertical="center"/>
    </xf>
    <xf numFmtId="0" fontId="3" fillId="6" borderId="34" xfId="0" applyFont="1" applyFill="1" applyBorder="1" applyAlignment="1">
      <alignment vertical="center"/>
    </xf>
    <xf numFmtId="0" fontId="3" fillId="6" borderId="20" xfId="0" applyFont="1" applyFill="1" applyBorder="1" applyAlignment="1">
      <alignment vertical="center"/>
    </xf>
    <xf numFmtId="0" fontId="3" fillId="6" borderId="20" xfId="0" applyFont="1" applyFill="1" applyBorder="1" applyAlignment="1">
      <alignment horizontal="right" vertical="center"/>
    </xf>
    <xf numFmtId="0" fontId="0" fillId="0" borderId="54" xfId="0" applyBorder="1" applyAlignment="1">
      <alignment horizontal="center" vertical="center"/>
    </xf>
    <xf numFmtId="0" fontId="0" fillId="0" borderId="70" xfId="0" applyBorder="1" applyAlignment="1">
      <alignment horizontal="center" vertical="center"/>
    </xf>
    <xf numFmtId="0" fontId="4" fillId="0" borderId="20" xfId="0" applyFont="1" applyBorder="1" applyAlignment="1">
      <alignment horizontal="center" vertical="center"/>
    </xf>
    <xf numFmtId="2" fontId="7" fillId="0" borderId="20" xfId="0" applyNumberFormat="1" applyFont="1" applyBorder="1" applyAlignment="1">
      <alignment horizontal="right" vertical="center"/>
    </xf>
    <xf numFmtId="164" fontId="3" fillId="3" borderId="35" xfId="1" applyNumberFormat="1" applyFont="1" applyFill="1" applyBorder="1" applyAlignment="1">
      <alignment horizontal="center" vertical="center"/>
    </xf>
    <xf numFmtId="0" fontId="0" fillId="4" borderId="36" xfId="0" applyFill="1" applyBorder="1" applyAlignment="1">
      <alignment horizontal="center" vertical="center"/>
    </xf>
    <xf numFmtId="164" fontId="0" fillId="3" borderId="26" xfId="1" applyNumberFormat="1" applyFont="1" applyFill="1" applyBorder="1" applyAlignment="1">
      <alignment horizontal="center" vertical="center"/>
    </xf>
    <xf numFmtId="0" fontId="0" fillId="7" borderId="36" xfId="0" applyFill="1" applyBorder="1" applyAlignment="1">
      <alignment horizontal="center" vertical="center"/>
    </xf>
    <xf numFmtId="0" fontId="0" fillId="7" borderId="26" xfId="0" applyFill="1" applyBorder="1" applyAlignment="1">
      <alignment horizontal="center" vertical="center"/>
    </xf>
    <xf numFmtId="0" fontId="0" fillId="4" borderId="46" xfId="0" applyFill="1" applyBorder="1" applyAlignment="1">
      <alignment horizontal="center"/>
    </xf>
    <xf numFmtId="0" fontId="0" fillId="4" borderId="48" xfId="0" applyFill="1" applyBorder="1" applyAlignment="1">
      <alignment horizontal="center"/>
    </xf>
    <xf numFmtId="1" fontId="7" fillId="5" borderId="30" xfId="0" applyNumberFormat="1" applyFont="1" applyFill="1" applyBorder="1" applyAlignment="1">
      <alignment horizontal="center" vertical="center"/>
    </xf>
    <xf numFmtId="0" fontId="10" fillId="6" borderId="74" xfId="0" applyFont="1" applyFill="1" applyBorder="1" applyAlignment="1">
      <alignment horizontal="center"/>
    </xf>
    <xf numFmtId="0" fontId="10" fillId="6" borderId="75" xfId="0" applyFont="1" applyFill="1" applyBorder="1" applyAlignment="1">
      <alignment horizontal="center"/>
    </xf>
    <xf numFmtId="0" fontId="10" fillId="6" borderId="76" xfId="0" applyFont="1" applyFill="1" applyBorder="1" applyAlignment="1">
      <alignment horizontal="center"/>
    </xf>
    <xf numFmtId="0" fontId="11" fillId="4" borderId="46" xfId="0" applyFont="1" applyFill="1" applyBorder="1" applyAlignment="1">
      <alignment horizontal="left" vertical="top" wrapText="1"/>
    </xf>
    <xf numFmtId="0" fontId="11" fillId="4" borderId="48" xfId="0" applyFont="1" applyFill="1" applyBorder="1" applyAlignment="1">
      <alignment horizontal="left" vertical="top" wrapText="1"/>
    </xf>
    <xf numFmtId="0" fontId="0" fillId="0" borderId="77" xfId="0" applyBorder="1" applyAlignment="1">
      <alignment horizontal="right"/>
    </xf>
    <xf numFmtId="2" fontId="7" fillId="5" borderId="56" xfId="0" applyNumberFormat="1" applyFont="1" applyFill="1" applyBorder="1" applyAlignment="1">
      <alignment horizontal="center" vertical="center"/>
    </xf>
    <xf numFmtId="2" fontId="7" fillId="5" borderId="26" xfId="0" applyNumberFormat="1" applyFont="1" applyFill="1" applyBorder="1" applyAlignment="1">
      <alignment horizontal="center" vertical="center"/>
    </xf>
    <xf numFmtId="2" fontId="7" fillId="5" borderId="32" xfId="0" applyNumberFormat="1" applyFont="1" applyFill="1" applyBorder="1" applyAlignment="1">
      <alignment horizontal="center" vertical="center"/>
    </xf>
    <xf numFmtId="0" fontId="14" fillId="0" borderId="0" xfId="0" applyFont="1" applyAlignment="1">
      <alignment horizontal="right" vertical="center"/>
    </xf>
    <xf numFmtId="0" fontId="14" fillId="0" borderId="2" xfId="0" applyFont="1" applyBorder="1" applyAlignment="1">
      <alignment horizontal="right" vertical="center"/>
    </xf>
    <xf numFmtId="0" fontId="6" fillId="6" borderId="24" xfId="0" applyFont="1" applyFill="1" applyBorder="1" applyAlignment="1">
      <alignment horizontal="center"/>
    </xf>
    <xf numFmtId="2" fontId="7" fillId="8" borderId="60" xfId="0" applyNumberFormat="1" applyFont="1" applyFill="1" applyBorder="1" applyAlignment="1">
      <alignment horizontal="center" vertical="center"/>
    </xf>
    <xf numFmtId="2" fontId="7" fillId="8" borderId="61" xfId="0" applyNumberFormat="1" applyFont="1" applyFill="1" applyBorder="1" applyAlignment="1">
      <alignment horizontal="center" vertical="center"/>
    </xf>
    <xf numFmtId="2" fontId="7" fillId="8" borderId="30" xfId="0" applyNumberFormat="1" applyFont="1" applyFill="1" applyBorder="1" applyAlignment="1">
      <alignment horizontal="center" vertical="center"/>
    </xf>
    <xf numFmtId="0" fontId="12" fillId="6" borderId="15" xfId="0" applyFont="1" applyFill="1" applyBorder="1" applyAlignment="1">
      <alignment horizontal="center" vertical="center"/>
    </xf>
    <xf numFmtId="0" fontId="12" fillId="6" borderId="10" xfId="0" applyFont="1" applyFill="1" applyBorder="1" applyAlignment="1">
      <alignment horizontal="center" vertical="center"/>
    </xf>
    <xf numFmtId="0" fontId="12" fillId="6" borderId="42" xfId="0" applyFont="1" applyFill="1" applyBorder="1" applyAlignment="1">
      <alignment horizontal="center" vertical="center"/>
    </xf>
    <xf numFmtId="0" fontId="12" fillId="6" borderId="25" xfId="0" applyFont="1" applyFill="1" applyBorder="1" applyAlignment="1">
      <alignment horizontal="center" vertical="center"/>
    </xf>
    <xf numFmtId="2" fontId="0" fillId="4" borderId="10" xfId="0" applyNumberFormat="1" applyFill="1" applyBorder="1" applyAlignment="1">
      <alignment horizontal="center" vertical="center"/>
    </xf>
    <xf numFmtId="0" fontId="0" fillId="4" borderId="73" xfId="0" applyFill="1" applyBorder="1"/>
    <xf numFmtId="0" fontId="0" fillId="4" borderId="50" xfId="0" applyFill="1" applyBorder="1"/>
    <xf numFmtId="0" fontId="4" fillId="0" borderId="17" xfId="0" applyFont="1" applyBorder="1" applyAlignment="1">
      <alignment horizontal="center" vertical="center"/>
    </xf>
    <xf numFmtId="0" fontId="3" fillId="3" borderId="25" xfId="0" applyFont="1" applyFill="1" applyBorder="1" applyAlignment="1">
      <alignment horizontal="center" vertical="center"/>
    </xf>
    <xf numFmtId="0" fontId="0" fillId="3" borderId="78" xfId="0" applyFill="1" applyBorder="1" applyAlignment="1">
      <alignment horizontal="center" vertical="center"/>
    </xf>
    <xf numFmtId="0" fontId="3" fillId="0" borderId="28" xfId="0" applyFont="1" applyBorder="1" applyAlignment="1">
      <alignment vertical="center"/>
    </xf>
    <xf numFmtId="0" fontId="0" fillId="0" borderId="28" xfId="0" applyBorder="1"/>
    <xf numFmtId="0" fontId="0" fillId="4" borderId="79" xfId="0" applyFill="1" applyBorder="1" applyAlignment="1">
      <alignment horizontal="center" vertical="center"/>
    </xf>
    <xf numFmtId="0" fontId="3" fillId="0" borderId="21" xfId="0" applyFont="1" applyBorder="1" applyAlignment="1">
      <alignment horizontal="right"/>
    </xf>
    <xf numFmtId="0" fontId="3" fillId="0" borderId="28" xfId="0" applyFont="1" applyBorder="1" applyAlignment="1">
      <alignment horizontal="right" vertical="center"/>
    </xf>
    <xf numFmtId="0" fontId="3" fillId="0" borderId="27" xfId="0" applyFont="1" applyBorder="1" applyAlignment="1">
      <alignment vertical="center"/>
    </xf>
    <xf numFmtId="0" fontId="10" fillId="6" borderId="56" xfId="0" applyFont="1" applyFill="1" applyBorder="1" applyAlignment="1">
      <alignment horizontal="center"/>
    </xf>
    <xf numFmtId="0" fontId="3" fillId="3" borderId="42" xfId="0" applyFont="1" applyFill="1" applyBorder="1" applyAlignment="1">
      <alignment horizontal="center" vertical="center"/>
    </xf>
    <xf numFmtId="164" fontId="3" fillId="3" borderId="42" xfId="1" applyNumberFormat="1" applyFont="1" applyFill="1" applyBorder="1" applyAlignment="1">
      <alignment horizontal="center" vertical="center"/>
    </xf>
    <xf numFmtId="0" fontId="0" fillId="4" borderId="81" xfId="0" applyFill="1" applyBorder="1" applyAlignment="1">
      <alignment horizontal="center" vertical="center"/>
    </xf>
    <xf numFmtId="0" fontId="0" fillId="4" borderId="8" xfId="0" applyFill="1" applyBorder="1" applyAlignment="1">
      <alignment horizontal="center"/>
    </xf>
    <xf numFmtId="2" fontId="7" fillId="8" borderId="47" xfId="0" applyNumberFormat="1" applyFont="1" applyFill="1" applyBorder="1" applyAlignment="1">
      <alignment horizontal="center" vertical="center"/>
    </xf>
    <xf numFmtId="0" fontId="0" fillId="4" borderId="14" xfId="0" applyFill="1" applyBorder="1" applyAlignment="1">
      <alignment horizontal="center"/>
    </xf>
    <xf numFmtId="0" fontId="0" fillId="4" borderId="82" xfId="0" applyFill="1" applyBorder="1" applyAlignment="1">
      <alignment horizontal="center" vertical="center"/>
    </xf>
    <xf numFmtId="0" fontId="0" fillId="4" borderId="83" xfId="0" applyFill="1" applyBorder="1" applyAlignment="1">
      <alignment horizontal="center" vertical="center"/>
    </xf>
    <xf numFmtId="2" fontId="0" fillId="0" borderId="0" xfId="0" applyNumberFormat="1"/>
    <xf numFmtId="0" fontId="8" fillId="0" borderId="0" xfId="0" applyFont="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11" fillId="0" borderId="45" xfId="0" applyFont="1" applyBorder="1" applyAlignment="1">
      <alignment horizontal="left" vertical="top" wrapText="1"/>
    </xf>
    <xf numFmtId="0" fontId="11" fillId="0" borderId="18" xfId="0" applyFont="1" applyBorder="1" applyAlignment="1">
      <alignment horizontal="left" vertical="top" wrapText="1"/>
    </xf>
    <xf numFmtId="0" fontId="11" fillId="0" borderId="44" xfId="0" applyFont="1" applyBorder="1" applyAlignment="1">
      <alignment horizontal="left" vertical="top" wrapText="1"/>
    </xf>
    <xf numFmtId="0" fontId="11" fillId="0" borderId="17" xfId="0" applyFont="1" applyBorder="1" applyAlignment="1">
      <alignment horizontal="left" vertical="top" wrapText="1"/>
    </xf>
    <xf numFmtId="0" fontId="11" fillId="0" borderId="0" xfId="0" applyFont="1" applyAlignment="1">
      <alignment horizontal="left" vertical="top" wrapText="1"/>
    </xf>
    <xf numFmtId="0" fontId="11" fillId="0" borderId="16" xfId="0" applyFont="1" applyBorder="1" applyAlignment="1">
      <alignment horizontal="left" vertical="top" wrapText="1"/>
    </xf>
    <xf numFmtId="0" fontId="11" fillId="0" borderId="5" xfId="0" applyFont="1" applyBorder="1" applyAlignment="1">
      <alignment horizontal="left" vertical="top" wrapText="1"/>
    </xf>
    <xf numFmtId="0" fontId="11" fillId="0" borderId="2" xfId="0" applyFont="1" applyBorder="1" applyAlignment="1">
      <alignment horizontal="left" vertical="top" wrapText="1"/>
    </xf>
    <xf numFmtId="0" fontId="11" fillId="0" borderId="6" xfId="0" applyFont="1" applyBorder="1" applyAlignment="1">
      <alignment horizontal="left" vertical="top" wrapText="1"/>
    </xf>
    <xf numFmtId="0" fontId="25" fillId="2" borderId="3" xfId="0" applyFont="1" applyFill="1" applyBorder="1" applyAlignment="1">
      <alignment horizontal="center" vertical="center"/>
    </xf>
    <xf numFmtId="0" fontId="25" fillId="2" borderId="49" xfId="0" applyFont="1" applyFill="1" applyBorder="1" applyAlignment="1">
      <alignment horizontal="center" vertical="center"/>
    </xf>
    <xf numFmtId="0" fontId="25" fillId="2" borderId="34" xfId="0" applyFont="1" applyFill="1" applyBorder="1" applyAlignment="1">
      <alignment horizontal="center" vertical="center"/>
    </xf>
    <xf numFmtId="0" fontId="25" fillId="2" borderId="21" xfId="0" applyFont="1" applyFill="1" applyBorder="1" applyAlignment="1">
      <alignment horizontal="center" vertical="center"/>
    </xf>
    <xf numFmtId="0" fontId="25" fillId="2" borderId="45" xfId="0" applyFont="1" applyFill="1" applyBorder="1" applyAlignment="1">
      <alignment horizontal="center" vertical="center"/>
    </xf>
    <xf numFmtId="0" fontId="25" fillId="2" borderId="77" xfId="0" applyFont="1" applyFill="1" applyBorder="1" applyAlignment="1">
      <alignment horizontal="center" vertical="center"/>
    </xf>
    <xf numFmtId="0" fontId="12" fillId="0" borderId="45" xfId="0" applyFont="1" applyBorder="1" applyAlignment="1">
      <alignment horizontal="left" vertical="top" wrapText="1"/>
    </xf>
    <xf numFmtId="0" fontId="12" fillId="0" borderId="18" xfId="0" applyFont="1" applyBorder="1" applyAlignment="1">
      <alignment horizontal="left" vertical="top" wrapText="1"/>
    </xf>
    <xf numFmtId="0" fontId="12" fillId="0" borderId="44" xfId="0" applyFont="1" applyBorder="1" applyAlignment="1">
      <alignment horizontal="left" vertical="top" wrapText="1"/>
    </xf>
    <xf numFmtId="0" fontId="12" fillId="0" borderId="5" xfId="0" applyFont="1" applyBorder="1" applyAlignment="1">
      <alignment horizontal="left" vertical="top" wrapText="1"/>
    </xf>
    <xf numFmtId="0" fontId="12" fillId="0" borderId="2" xfId="0" applyFont="1" applyBorder="1" applyAlignment="1">
      <alignment horizontal="left" vertical="top" wrapText="1"/>
    </xf>
    <xf numFmtId="0" fontId="12" fillId="0" borderId="6" xfId="0" applyFont="1" applyBorder="1" applyAlignment="1">
      <alignment horizontal="left" vertical="top" wrapText="1"/>
    </xf>
    <xf numFmtId="0" fontId="15" fillId="6" borderId="3" xfId="0" applyFont="1" applyFill="1" applyBorder="1" applyAlignment="1">
      <alignment horizontal="center"/>
    </xf>
    <xf numFmtId="0" fontId="15" fillId="6" borderId="1" xfId="0" applyFont="1" applyFill="1" applyBorder="1" applyAlignment="1">
      <alignment horizontal="center"/>
    </xf>
    <xf numFmtId="0" fontId="15" fillId="6" borderId="4" xfId="0" applyFont="1" applyFill="1" applyBorder="1" applyAlignment="1">
      <alignment horizontal="center"/>
    </xf>
    <xf numFmtId="0" fontId="11" fillId="0" borderId="3" xfId="0" applyFont="1" applyBorder="1" applyAlignment="1">
      <alignment horizontal="left" vertical="top" wrapText="1"/>
    </xf>
    <xf numFmtId="0" fontId="11" fillId="0" borderId="1" xfId="0" applyFont="1" applyBorder="1" applyAlignment="1">
      <alignment horizontal="left" vertical="top" wrapText="1"/>
    </xf>
    <xf numFmtId="0" fontId="11" fillId="0" borderId="4" xfId="0" applyFont="1" applyBorder="1" applyAlignment="1">
      <alignment horizontal="left" vertical="top" wrapText="1"/>
    </xf>
    <xf numFmtId="0" fontId="6" fillId="6" borderId="34" xfId="0" applyFont="1" applyFill="1" applyBorder="1" applyAlignment="1">
      <alignment horizontal="center"/>
    </xf>
    <xf numFmtId="0" fontId="6" fillId="6" borderId="20" xfId="0" applyFont="1" applyFill="1" applyBorder="1" applyAlignment="1">
      <alignment horizontal="center"/>
    </xf>
    <xf numFmtId="0" fontId="6" fillId="6" borderId="23" xfId="0" applyFont="1" applyFill="1" applyBorder="1" applyAlignment="1">
      <alignment horizontal="center"/>
    </xf>
    <xf numFmtId="0" fontId="6" fillId="6" borderId="24" xfId="0" applyFont="1" applyFill="1" applyBorder="1" applyAlignment="1">
      <alignment horizontal="center"/>
    </xf>
    <xf numFmtId="0" fontId="6" fillId="6" borderId="43" xfId="0" applyFont="1" applyFill="1" applyBorder="1" applyAlignment="1">
      <alignment horizontal="center"/>
    </xf>
    <xf numFmtId="0" fontId="11" fillId="0" borderId="80" xfId="0" applyFont="1" applyBorder="1" applyAlignment="1">
      <alignment horizontal="left" vertical="top" wrapText="1"/>
    </xf>
    <xf numFmtId="0" fontId="11" fillId="0" borderId="59" xfId="0" applyFont="1" applyBorder="1" applyAlignment="1">
      <alignment horizontal="left" vertical="top" wrapText="1"/>
    </xf>
    <xf numFmtId="0" fontId="6" fillId="6" borderId="25" xfId="0" applyFont="1" applyFill="1" applyBorder="1" applyAlignment="1">
      <alignment horizontal="center"/>
    </xf>
    <xf numFmtId="0" fontId="6" fillId="6" borderId="56" xfId="0" applyFont="1" applyFill="1" applyBorder="1" applyAlignment="1">
      <alignment horizontal="center"/>
    </xf>
    <xf numFmtId="0" fontId="11" fillId="0" borderId="54" xfId="0" applyFont="1" applyBorder="1" applyAlignment="1">
      <alignment horizontal="left" vertical="top" wrapText="1"/>
    </xf>
    <xf numFmtId="0" fontId="22" fillId="0" borderId="52" xfId="0" applyFont="1" applyBorder="1" applyAlignment="1">
      <alignment horizontal="right" vertical="center" wrapText="1"/>
    </xf>
    <xf numFmtId="0" fontId="22" fillId="0" borderId="15" xfId="0" applyFont="1" applyBorder="1" applyAlignment="1">
      <alignment horizontal="right" vertical="center" wrapText="1"/>
    </xf>
    <xf numFmtId="0" fontId="0" fillId="6" borderId="43" xfId="0" applyFill="1" applyBorder="1" applyAlignment="1">
      <alignment horizontal="center"/>
    </xf>
    <xf numFmtId="0" fontId="0" fillId="6" borderId="23" xfId="0" applyFill="1" applyBorder="1" applyAlignment="1">
      <alignment horizontal="center"/>
    </xf>
    <xf numFmtId="0" fontId="0" fillId="6" borderId="24" xfId="0" applyFill="1" applyBorder="1" applyAlignment="1">
      <alignment horizontal="center"/>
    </xf>
    <xf numFmtId="0" fontId="0" fillId="6" borderId="22" xfId="0" applyFill="1" applyBorder="1" applyAlignment="1">
      <alignment horizontal="center" vertical="center"/>
    </xf>
    <xf numFmtId="0" fontId="0" fillId="6" borderId="23" xfId="0" applyFill="1" applyBorder="1" applyAlignment="1">
      <alignment horizontal="center" vertical="center"/>
    </xf>
    <xf numFmtId="0" fontId="0" fillId="6" borderId="42" xfId="0" applyFill="1" applyBorder="1" applyAlignment="1">
      <alignment horizontal="center" vertical="center"/>
    </xf>
    <xf numFmtId="0" fontId="6" fillId="6" borderId="60" xfId="0" applyFont="1" applyFill="1" applyBorder="1" applyAlignment="1">
      <alignment horizontal="center"/>
    </xf>
    <xf numFmtId="0" fontId="6" fillId="6" borderId="21" xfId="0" applyFont="1" applyFill="1" applyBorder="1" applyAlignment="1">
      <alignment horizontal="center"/>
    </xf>
    <xf numFmtId="0" fontId="0" fillId="6" borderId="70" xfId="0" applyFill="1" applyBorder="1" applyAlignment="1">
      <alignment horizontal="center" vertical="center"/>
    </xf>
    <xf numFmtId="0" fontId="0" fillId="6" borderId="20" xfId="0" applyFill="1" applyBorder="1" applyAlignment="1">
      <alignment horizontal="center" vertical="center"/>
    </xf>
    <xf numFmtId="0" fontId="0" fillId="6" borderId="71" xfId="0" applyFill="1" applyBorder="1" applyAlignment="1">
      <alignment horizontal="center" vertical="center"/>
    </xf>
    <xf numFmtId="0" fontId="11" fillId="0" borderId="38" xfId="0" applyFont="1" applyBorder="1" applyAlignment="1">
      <alignment horizontal="left" vertical="top" wrapText="1"/>
    </xf>
    <xf numFmtId="0" fontId="11" fillId="0" borderId="39" xfId="0" applyFont="1" applyBorder="1" applyAlignment="1">
      <alignment horizontal="left" vertical="top" wrapText="1"/>
    </xf>
    <xf numFmtId="0" fontId="11" fillId="0" borderId="69" xfId="0" applyFont="1" applyBorder="1" applyAlignment="1">
      <alignment horizontal="left" vertical="top" wrapText="1"/>
    </xf>
    <xf numFmtId="0" fontId="11" fillId="0" borderId="64" xfId="0" applyFont="1" applyBorder="1" applyAlignment="1">
      <alignment horizontal="left" vertical="top" wrapText="1"/>
    </xf>
    <xf numFmtId="0" fontId="11" fillId="0" borderId="58" xfId="0" applyFont="1" applyBorder="1" applyAlignment="1">
      <alignment horizontal="left" vertical="top" wrapText="1"/>
    </xf>
    <xf numFmtId="0" fontId="11" fillId="0" borderId="65" xfId="0" applyFont="1" applyBorder="1" applyAlignment="1">
      <alignment horizontal="left" vertical="top" wrapText="1"/>
    </xf>
    <xf numFmtId="0" fontId="4" fillId="2" borderId="67" xfId="0" applyFont="1" applyFill="1" applyBorder="1" applyAlignment="1">
      <alignment horizontal="center" vertical="center"/>
    </xf>
    <xf numFmtId="0" fontId="4" fillId="2" borderId="68" xfId="0" applyFont="1" applyFill="1" applyBorder="1" applyAlignment="1">
      <alignment horizontal="center" vertical="center"/>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0" borderId="4" xfId="0" applyFont="1" applyBorder="1" applyAlignment="1">
      <alignment horizontal="left" vertical="center" wrapText="1"/>
    </xf>
    <xf numFmtId="0" fontId="11" fillId="0" borderId="17" xfId="0" applyFont="1" applyBorder="1" applyAlignment="1">
      <alignment horizontal="left" vertical="center" wrapText="1"/>
    </xf>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5" xfId="0" applyFont="1" applyBorder="1" applyAlignment="1">
      <alignment horizontal="left" vertical="center" wrapText="1"/>
    </xf>
    <xf numFmtId="0" fontId="11" fillId="0" borderId="2" xfId="0" applyFont="1" applyBorder="1" applyAlignment="1">
      <alignment horizontal="left" vertical="center" wrapText="1"/>
    </xf>
    <xf numFmtId="0" fontId="11" fillId="0" borderId="6" xfId="0" applyFont="1" applyBorder="1" applyAlignment="1">
      <alignment horizontal="left" vertical="center" wrapText="1"/>
    </xf>
    <xf numFmtId="0" fontId="11" fillId="0" borderId="0" xfId="0" applyFont="1" applyBorder="1" applyAlignment="1">
      <alignment horizontal="left" vertical="top" wrapText="1"/>
    </xf>
    <xf numFmtId="0" fontId="26" fillId="0" borderId="80" xfId="0" applyFont="1" applyBorder="1" applyAlignment="1">
      <alignment horizontal="left" vertical="top" wrapText="1"/>
    </xf>
    <xf numFmtId="0" fontId="26" fillId="0" borderId="44" xfId="0" applyFont="1" applyBorder="1" applyAlignment="1">
      <alignment horizontal="left" vertical="top" wrapText="1"/>
    </xf>
    <xf numFmtId="0" fontId="0" fillId="0" borderId="0" xfId="0" applyBorder="1"/>
    <xf numFmtId="0" fontId="0" fillId="0" borderId="0" xfId="0" applyBorder="1" applyAlignment="1">
      <alignment horizontal="right"/>
    </xf>
    <xf numFmtId="0" fontId="0" fillId="4" borderId="72" xfId="0" applyFill="1" applyBorder="1" applyAlignment="1">
      <alignment horizontal="center" vertical="center"/>
    </xf>
    <xf numFmtId="0" fontId="0" fillId="4" borderId="15" xfId="0" applyFill="1" applyBorder="1" applyAlignment="1">
      <alignment horizontal="center" vertical="center"/>
    </xf>
    <xf numFmtId="0" fontId="3" fillId="0" borderId="10" xfId="0" applyFont="1" applyBorder="1" applyAlignment="1">
      <alignment horizontal="right"/>
    </xf>
    <xf numFmtId="0" fontId="26" fillId="0" borderId="70" xfId="0" applyFont="1" applyBorder="1" applyAlignment="1">
      <alignment horizontal="left" vertical="top" wrapText="1"/>
    </xf>
    <xf numFmtId="0" fontId="26" fillId="0" borderId="71" xfId="0" applyFont="1" applyBorder="1" applyAlignment="1">
      <alignment horizontal="left" vertical="top" wrapText="1"/>
    </xf>
    <xf numFmtId="0" fontId="4" fillId="0" borderId="0" xfId="0" applyFont="1" applyBorder="1" applyAlignment="1">
      <alignment horizontal="center" vertical="center"/>
    </xf>
    <xf numFmtId="2" fontId="7" fillId="0" borderId="0" xfId="0" applyNumberFormat="1" applyFont="1" applyBorder="1" applyAlignment="1">
      <alignment horizontal="right" vertical="center"/>
    </xf>
    <xf numFmtId="0" fontId="11" fillId="0" borderId="84" xfId="0" applyFont="1" applyBorder="1" applyAlignment="1">
      <alignment horizontal="left" vertical="top" wrapText="1"/>
    </xf>
    <xf numFmtId="0" fontId="11" fillId="0" borderId="85" xfId="0" applyFont="1" applyBorder="1" applyAlignment="1">
      <alignment horizontal="left" vertical="top" wrapText="1"/>
    </xf>
    <xf numFmtId="0" fontId="11" fillId="0" borderId="62" xfId="0" applyFont="1" applyBorder="1" applyAlignment="1">
      <alignment horizontal="left" vertical="top" wrapText="1"/>
    </xf>
  </cellXfs>
  <cellStyles count="2">
    <cellStyle name="Normal" xfId="0" builtinId="0"/>
    <cellStyle name="Percent" xfId="1" builtinId="5"/>
  </cellStyles>
  <dxfs count="5">
    <dxf>
      <font>
        <b/>
        <i val="0"/>
        <color theme="0"/>
      </font>
      <fill>
        <patternFill>
          <bgColor rgb="FFCC0000"/>
        </patternFill>
      </fill>
    </dxf>
    <dxf>
      <font>
        <b/>
        <i val="0"/>
        <color theme="0"/>
      </font>
      <fill>
        <patternFill>
          <bgColor rgb="FFCC0000"/>
        </patternFill>
      </fill>
    </dxf>
    <dxf>
      <fill>
        <patternFill>
          <bgColor rgb="FFC00000"/>
        </patternFill>
      </fill>
    </dxf>
    <dxf>
      <fill>
        <patternFill>
          <bgColor rgb="FFC00000"/>
        </patternFill>
      </fill>
    </dxf>
    <dxf>
      <font>
        <b/>
        <i val="0"/>
        <color theme="0"/>
      </font>
      <fill>
        <patternFill>
          <bgColor rgb="FFCC0000"/>
        </patternFill>
      </fill>
    </dxf>
  </dxfs>
  <tableStyles count="0" defaultTableStyle="TableStyleMedium2" defaultPivotStyle="PivotStyleLight16"/>
  <colors>
    <mruColors>
      <color rgb="FFFFFF99"/>
      <color rgb="FFFFFFCC"/>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C2DC3-9766-47D5-884C-67522DCA0CA3}">
  <dimension ref="A1:Z76"/>
  <sheetViews>
    <sheetView tabSelected="1" zoomScaleNormal="100" workbookViewId="0">
      <selection activeCell="B2" sqref="B2:J3"/>
    </sheetView>
  </sheetViews>
  <sheetFormatPr defaultRowHeight="15" x14ac:dyDescent="0.25"/>
  <cols>
    <col min="1" max="1" width="4.5703125" customWidth="1"/>
    <col min="2" max="6" width="11.7109375" customWidth="1"/>
    <col min="7" max="10" width="18.5703125" customWidth="1"/>
    <col min="11" max="11" width="4.5703125" customWidth="1"/>
    <col min="14" max="14" width="8.42578125" bestFit="1" customWidth="1"/>
    <col min="15" max="15" width="8.28515625" bestFit="1" customWidth="1"/>
    <col min="16" max="16" width="5.5703125" bestFit="1" customWidth="1"/>
    <col min="17" max="17" width="6.42578125" bestFit="1" customWidth="1"/>
    <col min="18" max="18" width="5.5703125" bestFit="1" customWidth="1"/>
    <col min="19" max="19" width="6" bestFit="1" customWidth="1"/>
    <col min="20" max="20" width="5.85546875" bestFit="1" customWidth="1"/>
    <col min="21" max="21" width="6.7109375" bestFit="1" customWidth="1"/>
    <col min="22" max="22" width="6.85546875" bestFit="1" customWidth="1"/>
    <col min="23" max="23" width="7.7109375" bestFit="1" customWidth="1"/>
    <col min="24" max="24" width="5.140625" bestFit="1" customWidth="1"/>
    <col min="25" max="25" width="6" bestFit="1" customWidth="1"/>
    <col min="26" max="26" width="12.7109375" bestFit="1" customWidth="1"/>
  </cols>
  <sheetData>
    <row r="1" spans="1:26" ht="15.75" thickBot="1" x14ac:dyDescent="0.3"/>
    <row r="2" spans="1:26" ht="15" customHeight="1" thickBot="1" x14ac:dyDescent="0.3">
      <c r="B2" s="147" t="s">
        <v>161</v>
      </c>
      <c r="C2" s="148"/>
      <c r="D2" s="148"/>
      <c r="E2" s="148"/>
      <c r="F2" s="148"/>
      <c r="G2" s="148"/>
      <c r="H2" s="148"/>
      <c r="I2" s="148"/>
      <c r="J2" s="149"/>
      <c r="N2" s="174" t="s">
        <v>67</v>
      </c>
      <c r="O2" s="175"/>
      <c r="P2" s="175"/>
      <c r="Q2" s="175"/>
      <c r="R2" s="175"/>
      <c r="S2" s="175"/>
      <c r="T2" s="175"/>
      <c r="U2" s="175"/>
      <c r="V2" s="175"/>
      <c r="W2" s="175"/>
      <c r="X2" s="175"/>
      <c r="Y2" s="175"/>
      <c r="Z2" s="176"/>
    </row>
    <row r="3" spans="1:26" ht="15.75" customHeight="1" thickBot="1" x14ac:dyDescent="0.3">
      <c r="B3" s="150"/>
      <c r="C3" s="151"/>
      <c r="D3" s="151"/>
      <c r="E3" s="151"/>
      <c r="F3" s="151"/>
      <c r="G3" s="151"/>
      <c r="H3" s="151"/>
      <c r="I3" s="151"/>
      <c r="J3" s="152"/>
      <c r="N3" s="61" t="s">
        <v>63</v>
      </c>
      <c r="O3" s="62" t="s">
        <v>64</v>
      </c>
      <c r="P3" s="63" t="s">
        <v>12</v>
      </c>
      <c r="Q3" s="62" t="s">
        <v>13</v>
      </c>
      <c r="R3" s="63" t="s">
        <v>18</v>
      </c>
      <c r="S3" s="62" t="s">
        <v>19</v>
      </c>
      <c r="T3" s="63" t="s">
        <v>14</v>
      </c>
      <c r="U3" s="62" t="s">
        <v>15</v>
      </c>
      <c r="V3" s="63" t="s">
        <v>16</v>
      </c>
      <c r="W3" s="62" t="s">
        <v>17</v>
      </c>
      <c r="X3" s="63" t="s">
        <v>20</v>
      </c>
      <c r="Y3" s="62" t="s">
        <v>21</v>
      </c>
      <c r="Z3" s="66" t="s">
        <v>11</v>
      </c>
    </row>
    <row r="4" spans="1:26" ht="15.75" thickBot="1" x14ac:dyDescent="0.3">
      <c r="B4" s="28"/>
      <c r="C4" s="29"/>
      <c r="D4" s="105" t="s">
        <v>58</v>
      </c>
      <c r="E4" s="106" t="s">
        <v>59</v>
      </c>
      <c r="F4" s="107" t="s">
        <v>60</v>
      </c>
      <c r="G4" s="107" t="s">
        <v>133</v>
      </c>
      <c r="H4" s="51" t="s">
        <v>61</v>
      </c>
      <c r="I4" s="49" t="s">
        <v>62</v>
      </c>
      <c r="J4" s="50" t="s">
        <v>65</v>
      </c>
      <c r="N4" s="67">
        <v>0</v>
      </c>
      <c r="O4" s="68">
        <v>0</v>
      </c>
      <c r="P4" s="69">
        <v>0</v>
      </c>
      <c r="Q4" s="70">
        <v>0</v>
      </c>
      <c r="R4" s="69">
        <v>0</v>
      </c>
      <c r="S4" s="70">
        <v>0</v>
      </c>
      <c r="T4" s="69">
        <v>0</v>
      </c>
      <c r="U4" s="70">
        <v>0</v>
      </c>
      <c r="V4" s="69">
        <v>0</v>
      </c>
      <c r="W4" s="70">
        <v>0</v>
      </c>
      <c r="X4" s="69">
        <v>0</v>
      </c>
      <c r="Y4" s="70">
        <v>0</v>
      </c>
      <c r="Z4" s="64" t="s">
        <v>26</v>
      </c>
    </row>
    <row r="5" spans="1:26" ht="15.75" thickBot="1" x14ac:dyDescent="0.3">
      <c r="B5" s="15"/>
      <c r="C5" s="114" t="s">
        <v>54</v>
      </c>
      <c r="D5" s="55" t="str">
        <f>H11</f>
        <v>―</v>
      </c>
      <c r="E5" s="52">
        <v>35</v>
      </c>
      <c r="F5" s="56">
        <f>100-SUM(F6:F9)</f>
        <v>100</v>
      </c>
      <c r="G5" s="111" t="str">
        <f>IF(D5="―","―",IF(E5=F5,D5,D5*(F5/E5)))</f>
        <v>―</v>
      </c>
      <c r="H5" s="104" t="str">
        <f>IF(D5="―","―",SUM(G5:G9))</f>
        <v>―</v>
      </c>
      <c r="I5" s="12" t="str">
        <f>IF($D$5="―","Not Rated",IF(AND(VLOOKUP($H$5,N$3:$Z$8,13,TRUE)="Excellent",$G$12&lt;0.95,$G$12&lt;&gt;"―"),"Good",VLOOKUP($H$5,N$3:$Z$8,13,TRUE)))</f>
        <v>Not Rated</v>
      </c>
      <c r="J5" s="13" t="str">
        <f>IF($D$5="―","Not Rated",IF(AND(VLOOKUP($H$5,O$3:$Z$8,12,TRUE)="Excellent",$G$12&lt;0.95,$G$12&lt;&gt;"―"),"Good",VLOOKUP($H$5,O$3:$Z$8,12,TRUE)))</f>
        <v>Not Rated</v>
      </c>
      <c r="N5" s="67">
        <v>33.5</v>
      </c>
      <c r="O5" s="68">
        <v>28.5</v>
      </c>
      <c r="P5" s="69">
        <v>9.6199999999999992</v>
      </c>
      <c r="Q5" s="70">
        <v>8.3699999999999992</v>
      </c>
      <c r="R5" s="69">
        <v>9.66</v>
      </c>
      <c r="S5" s="70">
        <v>10.15</v>
      </c>
      <c r="T5" s="69">
        <v>3.22</v>
      </c>
      <c r="U5" s="70">
        <v>3.23</v>
      </c>
      <c r="V5" s="69">
        <v>2.5099999999999998</v>
      </c>
      <c r="W5" s="70">
        <v>2.5099999999999998</v>
      </c>
      <c r="X5" s="69">
        <v>5.72</v>
      </c>
      <c r="Y5" s="70">
        <v>4.38</v>
      </c>
      <c r="Z5" s="64" t="s">
        <v>25</v>
      </c>
    </row>
    <row r="6" spans="1:26" x14ac:dyDescent="0.25">
      <c r="B6" s="15"/>
      <c r="C6" s="114" t="s">
        <v>55</v>
      </c>
      <c r="D6" s="57" t="str">
        <f>H26</f>
        <v>―</v>
      </c>
      <c r="E6" s="53">
        <v>35</v>
      </c>
      <c r="F6" s="58" t="str">
        <f>IF(OR(D5="―",D6="―"),"―",E6+((SUM(E7:E9)-SUM(F7:F9))/2))</f>
        <v>―</v>
      </c>
      <c r="G6" s="112" t="str">
        <f t="shared" ref="G6:G9" si="0">IF(D6="―","―",IF(E6=F6,D6,D6*(F6/E6)))</f>
        <v>―</v>
      </c>
      <c r="H6" s="177" t="s">
        <v>130</v>
      </c>
      <c r="I6" s="178"/>
      <c r="J6" s="179"/>
      <c r="N6" s="67">
        <v>41.5</v>
      </c>
      <c r="O6" s="68">
        <v>35.5</v>
      </c>
      <c r="P6" s="69">
        <v>13.36</v>
      </c>
      <c r="Q6" s="70">
        <v>12</v>
      </c>
      <c r="R6" s="69">
        <v>13.36</v>
      </c>
      <c r="S6" s="70">
        <v>13.38</v>
      </c>
      <c r="T6" s="69">
        <v>4.3499999999999996</v>
      </c>
      <c r="U6" s="70">
        <v>4.41</v>
      </c>
      <c r="V6" s="69">
        <v>3.78</v>
      </c>
      <c r="W6" s="70">
        <v>3.78</v>
      </c>
      <c r="X6" s="69">
        <v>6.71</v>
      </c>
      <c r="Y6" s="70">
        <v>5.45</v>
      </c>
      <c r="Z6" s="64" t="s">
        <v>24</v>
      </c>
    </row>
    <row r="7" spans="1:26" x14ac:dyDescent="0.25">
      <c r="B7" s="15"/>
      <c r="C7" s="114" t="s">
        <v>56</v>
      </c>
      <c r="D7" s="57" t="str">
        <f>H50</f>
        <v>―</v>
      </c>
      <c r="E7" s="53">
        <v>10</v>
      </c>
      <c r="F7" s="58" t="str">
        <f>IF(D7="―","―",E7)</f>
        <v>―</v>
      </c>
      <c r="G7" s="112" t="str">
        <f t="shared" si="0"/>
        <v>―</v>
      </c>
      <c r="H7" s="156"/>
      <c r="I7" s="157"/>
      <c r="J7" s="158"/>
      <c r="N7" s="67">
        <v>52.5</v>
      </c>
      <c r="O7" s="68">
        <v>47.5</v>
      </c>
      <c r="P7" s="69">
        <v>18.55</v>
      </c>
      <c r="Q7" s="70">
        <v>16.72</v>
      </c>
      <c r="R7" s="69">
        <v>17.920000000000002</v>
      </c>
      <c r="S7" s="70">
        <v>17.18</v>
      </c>
      <c r="T7" s="69">
        <v>5.76</v>
      </c>
      <c r="U7" s="70">
        <v>5.75</v>
      </c>
      <c r="V7" s="69">
        <v>5.46</v>
      </c>
      <c r="W7" s="70">
        <v>5.46</v>
      </c>
      <c r="X7" s="69">
        <v>7.64</v>
      </c>
      <c r="Y7" s="70">
        <v>6.63</v>
      </c>
      <c r="Z7" s="64" t="s">
        <v>23</v>
      </c>
    </row>
    <row r="8" spans="1:26" ht="15.75" thickBot="1" x14ac:dyDescent="0.3">
      <c r="B8" s="15"/>
      <c r="C8" s="114" t="s">
        <v>53</v>
      </c>
      <c r="D8" s="57" t="str">
        <f>H62</f>
        <v>―</v>
      </c>
      <c r="E8" s="53">
        <v>10</v>
      </c>
      <c r="F8" s="58" t="str">
        <f t="shared" ref="F8:F9" si="1">IF(D8="―","―",E8)</f>
        <v>―</v>
      </c>
      <c r="G8" s="112" t="str">
        <f t="shared" si="0"/>
        <v>―</v>
      </c>
      <c r="H8" s="156"/>
      <c r="I8" s="157"/>
      <c r="J8" s="158"/>
      <c r="N8" s="71">
        <v>60.5</v>
      </c>
      <c r="O8" s="72">
        <v>55.5</v>
      </c>
      <c r="P8" s="73">
        <v>21.43</v>
      </c>
      <c r="Q8" s="74">
        <v>20.100000000000001</v>
      </c>
      <c r="R8" s="73">
        <v>21.45</v>
      </c>
      <c r="S8" s="74">
        <v>20.14</v>
      </c>
      <c r="T8" s="73">
        <v>6.54</v>
      </c>
      <c r="U8" s="74">
        <v>6.64</v>
      </c>
      <c r="V8" s="73">
        <v>6.59</v>
      </c>
      <c r="W8" s="74">
        <v>6.59</v>
      </c>
      <c r="X8" s="73">
        <v>8.2100000000000009</v>
      </c>
      <c r="Y8" s="74">
        <v>7.43</v>
      </c>
      <c r="Z8" s="65" t="s">
        <v>22</v>
      </c>
    </row>
    <row r="9" spans="1:26" ht="15.75" thickBot="1" x14ac:dyDescent="0.3">
      <c r="B9" s="45"/>
      <c r="C9" s="115" t="s">
        <v>57</v>
      </c>
      <c r="D9" s="11" t="str">
        <f>IF(ISBLANK(H70),"―",H70)</f>
        <v>―</v>
      </c>
      <c r="E9" s="54">
        <v>10</v>
      </c>
      <c r="F9" s="59" t="str">
        <f t="shared" si="1"/>
        <v>―</v>
      </c>
      <c r="G9" s="113" t="str">
        <f t="shared" si="0"/>
        <v>―</v>
      </c>
      <c r="H9" s="159"/>
      <c r="I9" s="160"/>
      <c r="J9" s="161"/>
      <c r="L9" s="60"/>
    </row>
    <row r="10" spans="1:26" x14ac:dyDescent="0.25">
      <c r="A10" s="146"/>
      <c r="B10" s="147" t="s">
        <v>0</v>
      </c>
      <c r="C10" s="148"/>
      <c r="D10" s="148"/>
      <c r="E10" s="148"/>
      <c r="F10" s="148"/>
      <c r="G10" s="149"/>
      <c r="H10" s="51" t="s">
        <v>28</v>
      </c>
      <c r="I10" s="49" t="s">
        <v>29</v>
      </c>
      <c r="J10" s="50" t="s">
        <v>30</v>
      </c>
    </row>
    <row r="11" spans="1:26" ht="15" customHeight="1" thickBot="1" x14ac:dyDescent="0.3">
      <c r="A11" s="146"/>
      <c r="B11" s="150"/>
      <c r="C11" s="151"/>
      <c r="D11" s="151"/>
      <c r="E11" s="151"/>
      <c r="F11" s="151"/>
      <c r="G11" s="152"/>
      <c r="H11" s="11" t="str">
        <f>IF(J13&lt;20,"―",IF(G12&lt;0.95,-5,0)+(35*(SUM(H15*3,H16*2,H17,I15*3,I16*2,I17)/(3*SUM(H15:I19)))))</f>
        <v>―</v>
      </c>
      <c r="I11" s="12" t="str">
        <f>IF($H$11="―","Not Rated",VLOOKUP($H11,P$3:$Z$8,11,TRUE))</f>
        <v>Not Rated</v>
      </c>
      <c r="J11" s="13" t="str">
        <f>IF($H$11="―","Not Rated",VLOOKUP($H11,Q$3:$Z$8,10,TRUE))</f>
        <v>Not Rated</v>
      </c>
    </row>
    <row r="12" spans="1:26" ht="15" customHeight="1" x14ac:dyDescent="0.25">
      <c r="B12" s="16"/>
      <c r="C12" s="17"/>
      <c r="D12" s="17"/>
      <c r="E12" s="17"/>
      <c r="F12" s="18" t="s">
        <v>31</v>
      </c>
      <c r="G12" s="39" t="str">
        <f>IF(J13&lt;20,"―",SUM(H15:I18)/SUM(H15:I19))</f>
        <v>―</v>
      </c>
      <c r="H12" s="30" t="s">
        <v>6</v>
      </c>
      <c r="I12" s="30" t="s">
        <v>7</v>
      </c>
      <c r="J12" s="31" t="s">
        <v>10</v>
      </c>
    </row>
    <row r="13" spans="1:26" x14ac:dyDescent="0.25">
      <c r="B13" s="15"/>
      <c r="G13" s="7" t="s">
        <v>9</v>
      </c>
      <c r="H13" s="20">
        <f>SUM(H15:H19)</f>
        <v>0</v>
      </c>
      <c r="I13" s="20">
        <f>SUM(I15:I19)</f>
        <v>0</v>
      </c>
      <c r="J13" s="23">
        <f>SUM(H13:I13)</f>
        <v>0</v>
      </c>
    </row>
    <row r="14" spans="1:26" x14ac:dyDescent="0.25">
      <c r="B14" s="15"/>
      <c r="G14" s="7" t="s">
        <v>8</v>
      </c>
      <c r="H14" s="21" t="str">
        <f>IF(H13&lt;20,"―",SUM(H15:H16)/H13)</f>
        <v>―</v>
      </c>
      <c r="I14" s="21" t="str">
        <f>IF(I13&lt;20,"―",SUM(I15:I16)/I13)</f>
        <v>―</v>
      </c>
      <c r="J14" s="24" t="str">
        <f>IF(J13&lt;20,"―",SUM(J15:J16)/J13)</f>
        <v>―</v>
      </c>
    </row>
    <row r="15" spans="1:26" x14ac:dyDescent="0.25">
      <c r="B15" s="15"/>
      <c r="G15" s="8" t="s">
        <v>1</v>
      </c>
      <c r="H15" s="40"/>
      <c r="I15" s="1"/>
      <c r="J15" s="23" t="str">
        <f>IF(SUM(H15:I15)=0,"―",SUM(H15:I15))</f>
        <v>―</v>
      </c>
    </row>
    <row r="16" spans="1:26" x14ac:dyDescent="0.25">
      <c r="B16" s="15"/>
      <c r="G16" s="8" t="s">
        <v>4</v>
      </c>
      <c r="H16" s="4"/>
      <c r="I16" s="2"/>
      <c r="J16" s="23" t="str">
        <f t="shared" ref="J16:J19" si="2">IF(SUM(H16:I16)=0,"―",SUM(H16:I16))</f>
        <v>―</v>
      </c>
    </row>
    <row r="17" spans="1:10" x14ac:dyDescent="0.25">
      <c r="B17" s="15"/>
      <c r="G17" s="8" t="s">
        <v>3</v>
      </c>
      <c r="H17" s="4"/>
      <c r="I17" s="2"/>
      <c r="J17" s="23" t="str">
        <f t="shared" si="2"/>
        <v>―</v>
      </c>
    </row>
    <row r="18" spans="1:10" x14ac:dyDescent="0.25">
      <c r="B18" s="15"/>
      <c r="G18" s="8" t="s">
        <v>2</v>
      </c>
      <c r="H18" s="4"/>
      <c r="I18" s="2"/>
      <c r="J18" s="23" t="str">
        <f t="shared" si="2"/>
        <v>―</v>
      </c>
    </row>
    <row r="19" spans="1:10" x14ac:dyDescent="0.25">
      <c r="B19" s="15"/>
      <c r="G19" s="10" t="s">
        <v>5</v>
      </c>
      <c r="H19" s="6"/>
      <c r="I19" s="19"/>
      <c r="J19" s="32" t="str">
        <f t="shared" si="2"/>
        <v>―</v>
      </c>
    </row>
    <row r="20" spans="1:10" ht="15" customHeight="1" x14ac:dyDescent="0.25">
      <c r="B20" s="153" t="s">
        <v>48</v>
      </c>
      <c r="C20" s="154"/>
      <c r="D20" s="154"/>
      <c r="E20" s="154"/>
      <c r="F20" s="154"/>
      <c r="G20" s="154"/>
      <c r="H20" s="154"/>
      <c r="I20" s="154"/>
      <c r="J20" s="155"/>
    </row>
    <row r="21" spans="1:10" ht="15" customHeight="1" x14ac:dyDescent="0.25">
      <c r="B21" s="156"/>
      <c r="C21" s="157"/>
      <c r="D21" s="157"/>
      <c r="E21" s="157"/>
      <c r="F21" s="157"/>
      <c r="G21" s="157"/>
      <c r="H21" s="157"/>
      <c r="I21" s="157"/>
      <c r="J21" s="158"/>
    </row>
    <row r="22" spans="1:10" ht="15.75" customHeight="1" x14ac:dyDescent="0.25">
      <c r="B22" s="156"/>
      <c r="C22" s="157"/>
      <c r="D22" s="157"/>
      <c r="E22" s="157"/>
      <c r="F22" s="157"/>
      <c r="G22" s="157"/>
      <c r="H22" s="157"/>
      <c r="I22" s="157"/>
      <c r="J22" s="158"/>
    </row>
    <row r="23" spans="1:10" ht="15.75" customHeight="1" x14ac:dyDescent="0.25">
      <c r="B23" s="156"/>
      <c r="C23" s="157"/>
      <c r="D23" s="157"/>
      <c r="E23" s="157"/>
      <c r="F23" s="157"/>
      <c r="G23" s="157"/>
      <c r="H23" s="157"/>
      <c r="I23" s="157"/>
      <c r="J23" s="158"/>
    </row>
    <row r="24" spans="1:10" ht="15.75" customHeight="1" thickBot="1" x14ac:dyDescent="0.3">
      <c r="B24" s="156"/>
      <c r="C24" s="157"/>
      <c r="D24" s="157"/>
      <c r="E24" s="157"/>
      <c r="F24" s="157"/>
      <c r="G24" s="157"/>
      <c r="H24" s="157"/>
      <c r="I24" s="157"/>
      <c r="J24" s="158"/>
    </row>
    <row r="25" spans="1:10" x14ac:dyDescent="0.25">
      <c r="A25" s="146"/>
      <c r="B25" s="147" t="s">
        <v>27</v>
      </c>
      <c r="C25" s="148"/>
      <c r="D25" s="148"/>
      <c r="E25" s="148"/>
      <c r="F25" s="148"/>
      <c r="G25" s="149"/>
      <c r="H25" s="51" t="s">
        <v>28</v>
      </c>
      <c r="I25" s="49" t="s">
        <v>29</v>
      </c>
      <c r="J25" s="50" t="s">
        <v>30</v>
      </c>
    </row>
    <row r="26" spans="1:10" ht="15.75" thickBot="1" x14ac:dyDescent="0.3">
      <c r="A26" s="146"/>
      <c r="B26" s="150"/>
      <c r="C26" s="151"/>
      <c r="D26" s="151"/>
      <c r="E26" s="151"/>
      <c r="F26" s="151"/>
      <c r="G26" s="152"/>
      <c r="H26" s="11" t="str">
        <f>IF(AND(J28="―",J37="―"),"―",AVERAGE(J28,J37))</f>
        <v>―</v>
      </c>
      <c r="I26" s="12" t="str">
        <f>IF($H$26="―","Not Rated",VLOOKUP($H26,R$3:$Z$8,9,TRUE))</f>
        <v>Not Rated</v>
      </c>
      <c r="J26" s="13" t="str">
        <f>IF($H$26="―","Not Rated",VLOOKUP($H26,S$3:$Z$8,8,TRUE))</f>
        <v>Not Rated</v>
      </c>
    </row>
    <row r="27" spans="1:10" x14ac:dyDescent="0.25">
      <c r="B27" s="162" t="s">
        <v>6</v>
      </c>
      <c r="C27" s="163"/>
      <c r="D27" s="120" t="s">
        <v>135</v>
      </c>
      <c r="E27" s="120" t="s">
        <v>137</v>
      </c>
      <c r="F27" s="120" t="s">
        <v>138</v>
      </c>
      <c r="G27" s="123" t="s">
        <v>140</v>
      </c>
      <c r="H27" s="123" t="s">
        <v>139</v>
      </c>
      <c r="I27" s="120" t="s">
        <v>141</v>
      </c>
      <c r="J27" s="122" t="s">
        <v>149</v>
      </c>
    </row>
    <row r="28" spans="1:10" x14ac:dyDescent="0.25">
      <c r="B28" s="164"/>
      <c r="C28" s="165"/>
      <c r="D28" s="20">
        <f>SUM(G30:H35)</f>
        <v>0</v>
      </c>
      <c r="E28" s="21" t="str">
        <f>IF(D28&lt;20,"―",SUM(H30:H35)/D28)</f>
        <v>―</v>
      </c>
      <c r="F28" s="21" t="str">
        <f>IF(D28&lt;20,"―",SUM(I30:I35)/D28)</f>
        <v>―</v>
      </c>
      <c r="G28" s="124"/>
      <c r="H28" s="25" t="str">
        <f>IF(D28&lt;20,"―",MAX(MIN(7*(((SUM(H30:H35)+SUM(I30*2,I31*3,I32*5,I33*7,I34*10,I35*13)+SUM(J30*0.55,J31*0.9,J32*1.625,J33*2.45,J34*3.75,J35*5.2))/D28)-1),35),0))</f>
        <v>―</v>
      </c>
      <c r="I28" s="25" t="str">
        <f>IF(D28&lt;20,"―",MAX(MIN(F28*100*(35/65),35),0))</f>
        <v>―</v>
      </c>
      <c r="J28" s="141" t="str">
        <f>IF(AND(D28&lt;20,ISBLANK(G28)),"―",IF(H28="―",G28,AVERAGE(G28:I28)))</f>
        <v>―</v>
      </c>
    </row>
    <row r="29" spans="1:10" x14ac:dyDescent="0.25">
      <c r="B29" s="180" t="s">
        <v>41</v>
      </c>
      <c r="C29" s="181"/>
      <c r="D29" s="182"/>
      <c r="E29" s="182"/>
      <c r="F29" s="183"/>
      <c r="G29" s="116" t="s">
        <v>37</v>
      </c>
      <c r="H29" s="116" t="s">
        <v>38</v>
      </c>
      <c r="I29" s="116" t="s">
        <v>39</v>
      </c>
      <c r="J29" s="34" t="s">
        <v>40</v>
      </c>
    </row>
    <row r="30" spans="1:10" x14ac:dyDescent="0.25">
      <c r="B30" s="85"/>
      <c r="C30" s="83"/>
      <c r="D30" s="83"/>
      <c r="E30" s="83"/>
      <c r="F30" s="110" t="s">
        <v>32</v>
      </c>
      <c r="G30" s="140"/>
      <c r="H30" s="27"/>
      <c r="I30" s="3"/>
      <c r="J30" s="36" t="str">
        <f>IF($D$28=0,"―",H30-I30)</f>
        <v>―</v>
      </c>
    </row>
    <row r="31" spans="1:10" x14ac:dyDescent="0.25">
      <c r="B31" s="15"/>
      <c r="F31" s="8" t="s">
        <v>147</v>
      </c>
      <c r="G31" s="140"/>
      <c r="H31" s="26"/>
      <c r="I31" s="5"/>
      <c r="J31" s="37" t="str">
        <f t="shared" ref="J31:J35" si="3">IF($D$28=0,"―",H31-I31)</f>
        <v>―</v>
      </c>
    </row>
    <row r="32" spans="1:10" x14ac:dyDescent="0.25">
      <c r="B32" s="15"/>
      <c r="F32" s="8" t="s">
        <v>33</v>
      </c>
      <c r="G32" s="140"/>
      <c r="H32" s="26"/>
      <c r="I32" s="5"/>
      <c r="J32" s="37" t="str">
        <f t="shared" si="3"/>
        <v>―</v>
      </c>
    </row>
    <row r="33" spans="2:10" x14ac:dyDescent="0.25">
      <c r="B33" s="15"/>
      <c r="F33" s="8" t="s">
        <v>34</v>
      </c>
      <c r="G33" s="140"/>
      <c r="H33" s="26"/>
      <c r="I33" s="5"/>
      <c r="J33" s="37" t="str">
        <f t="shared" si="3"/>
        <v>―</v>
      </c>
    </row>
    <row r="34" spans="2:10" x14ac:dyDescent="0.25">
      <c r="B34" s="15"/>
      <c r="F34" s="8" t="s">
        <v>35</v>
      </c>
      <c r="G34" s="140"/>
      <c r="H34" s="26"/>
      <c r="I34" s="5"/>
      <c r="J34" s="37" t="str">
        <f t="shared" si="3"/>
        <v>―</v>
      </c>
    </row>
    <row r="35" spans="2:10" x14ac:dyDescent="0.25">
      <c r="B35" s="15"/>
      <c r="F35" s="8" t="s">
        <v>36</v>
      </c>
      <c r="G35" s="142"/>
      <c r="H35" s="143"/>
      <c r="I35" s="144"/>
      <c r="J35" s="129" t="str">
        <f t="shared" si="3"/>
        <v>―</v>
      </c>
    </row>
    <row r="36" spans="2:10" x14ac:dyDescent="0.25">
      <c r="B36" s="166" t="s">
        <v>150</v>
      </c>
      <c r="C36" s="167"/>
      <c r="D36" s="121" t="s">
        <v>136</v>
      </c>
      <c r="E36" s="121" t="s">
        <v>142</v>
      </c>
      <c r="F36" s="121" t="s">
        <v>143</v>
      </c>
      <c r="G36" s="121" t="s">
        <v>146</v>
      </c>
      <c r="H36" s="121" t="s">
        <v>144</v>
      </c>
      <c r="I36" s="120" t="s">
        <v>145</v>
      </c>
      <c r="J36" s="122" t="s">
        <v>148</v>
      </c>
    </row>
    <row r="37" spans="2:10" x14ac:dyDescent="0.25">
      <c r="B37" s="164"/>
      <c r="C37" s="165"/>
      <c r="D37" s="20">
        <f>SUM(G39:H44)</f>
        <v>0</v>
      </c>
      <c r="E37" s="21" t="str">
        <f>IF(SUM(D36:D37)=0,"―",SUM(H39:H44,H48:H48)/SUM($D37,$D46))</f>
        <v>―</v>
      </c>
      <c r="F37" s="21" t="str">
        <f>IF(SUM(D36:D37)=0,"―",SUM(I39:I44,I48:I48)/SUM($D37,$D46))</f>
        <v>―</v>
      </c>
      <c r="G37" s="124"/>
      <c r="H37" s="25" t="str">
        <f>IF(D37&lt;20,"―",MAX(MIN(7*(((SUM(H39:H44)+SUM(I39*2,I40*3,I41*5,I42*7,I43*10,I44*13)+SUM(J39*0.55,J40*0.9,J41*1.625,J42*2.45,J43*3.75,J44*5.2))/D37)-1),35),0))</f>
        <v>―</v>
      </c>
      <c r="I37" s="25" t="str">
        <f>IF(D37&lt;20,"―",MAX(MIN(F37*100*(35/65),35),0))</f>
        <v>―</v>
      </c>
      <c r="J37" s="141" t="str">
        <f>IF(AND(D37&lt;20,ISBLANK(G37)),"―",IF(H37="―",G37,AVERAGE(G37:I37)))</f>
        <v>―</v>
      </c>
    </row>
    <row r="38" spans="2:10" x14ac:dyDescent="0.25">
      <c r="B38" s="184" t="s">
        <v>42</v>
      </c>
      <c r="C38" s="182"/>
      <c r="D38" s="182"/>
      <c r="E38" s="182"/>
      <c r="F38" s="183"/>
      <c r="G38" s="116" t="s">
        <v>43</v>
      </c>
      <c r="H38" s="116" t="s">
        <v>44</v>
      </c>
      <c r="I38" s="116" t="s">
        <v>45</v>
      </c>
      <c r="J38" s="34" t="s">
        <v>46</v>
      </c>
    </row>
    <row r="39" spans="2:10" x14ac:dyDescent="0.25">
      <c r="B39" s="85"/>
      <c r="C39" s="83"/>
      <c r="D39" s="83"/>
      <c r="E39" s="83"/>
      <c r="F39" s="110" t="s">
        <v>32</v>
      </c>
      <c r="G39" s="140"/>
      <c r="H39" s="27"/>
      <c r="I39" s="3"/>
      <c r="J39" s="36" t="str">
        <f>IF($D$37=0,"―",H39-I39)</f>
        <v>―</v>
      </c>
    </row>
    <row r="40" spans="2:10" x14ac:dyDescent="0.25">
      <c r="B40" s="15"/>
      <c r="F40" s="8" t="s">
        <v>147</v>
      </c>
      <c r="G40" s="140"/>
      <c r="H40" s="26"/>
      <c r="I40" s="5"/>
      <c r="J40" s="37" t="str">
        <f t="shared" ref="J40:J44" si="4">IF($D$37=0,"―",H40-I40)</f>
        <v>―</v>
      </c>
    </row>
    <row r="41" spans="2:10" x14ac:dyDescent="0.25">
      <c r="B41" s="15"/>
      <c r="F41" s="8" t="s">
        <v>33</v>
      </c>
      <c r="G41" s="140"/>
      <c r="H41" s="26"/>
      <c r="I41" s="5"/>
      <c r="J41" s="37" t="str">
        <f t="shared" si="4"/>
        <v>―</v>
      </c>
    </row>
    <row r="42" spans="2:10" x14ac:dyDescent="0.25">
      <c r="B42" s="15"/>
      <c r="F42" s="8" t="s">
        <v>34</v>
      </c>
      <c r="G42" s="140"/>
      <c r="H42" s="26"/>
      <c r="I42" s="5"/>
      <c r="J42" s="37" t="str">
        <f t="shared" si="4"/>
        <v>―</v>
      </c>
    </row>
    <row r="43" spans="2:10" x14ac:dyDescent="0.25">
      <c r="B43" s="15"/>
      <c r="F43" s="8" t="s">
        <v>35</v>
      </c>
      <c r="G43" s="140"/>
      <c r="H43" s="26"/>
      <c r="I43" s="5"/>
      <c r="J43" s="37" t="str">
        <f t="shared" si="4"/>
        <v>―</v>
      </c>
    </row>
    <row r="44" spans="2:10" x14ac:dyDescent="0.25">
      <c r="B44" s="35"/>
      <c r="C44" s="9"/>
      <c r="D44" s="9"/>
      <c r="E44" s="9"/>
      <c r="F44" s="10" t="s">
        <v>36</v>
      </c>
      <c r="G44" s="142"/>
      <c r="H44" s="143"/>
      <c r="I44" s="144"/>
      <c r="J44" s="38" t="str">
        <f t="shared" si="4"/>
        <v>―</v>
      </c>
    </row>
    <row r="45" spans="2:10" ht="15" customHeight="1" x14ac:dyDescent="0.25">
      <c r="B45" s="153" t="s">
        <v>153</v>
      </c>
      <c r="C45" s="154"/>
      <c r="D45" s="154"/>
      <c r="E45" s="154"/>
      <c r="F45" s="154"/>
      <c r="G45" s="154"/>
      <c r="H45" s="154"/>
      <c r="I45" s="154"/>
      <c r="J45" s="155"/>
    </row>
    <row r="46" spans="2:10" x14ac:dyDescent="0.25">
      <c r="B46" s="156"/>
      <c r="C46" s="220"/>
      <c r="D46" s="220"/>
      <c r="E46" s="220"/>
      <c r="F46" s="220"/>
      <c r="G46" s="220"/>
      <c r="H46" s="220"/>
      <c r="I46" s="220"/>
      <c r="J46" s="158"/>
    </row>
    <row r="47" spans="2:10" x14ac:dyDescent="0.25">
      <c r="B47" s="156"/>
      <c r="C47" s="220"/>
      <c r="D47" s="220"/>
      <c r="E47" s="220"/>
      <c r="F47" s="220"/>
      <c r="G47" s="220"/>
      <c r="H47" s="220"/>
      <c r="I47" s="220"/>
      <c r="J47" s="158"/>
    </row>
    <row r="48" spans="2:10" ht="15.75" thickBot="1" x14ac:dyDescent="0.3">
      <c r="B48" s="159"/>
      <c r="C48" s="160"/>
      <c r="D48" s="160"/>
      <c r="E48" s="160"/>
      <c r="F48" s="160"/>
      <c r="G48" s="160"/>
      <c r="H48" s="160"/>
      <c r="I48" s="160"/>
      <c r="J48" s="161"/>
    </row>
    <row r="49" spans="2:10" x14ac:dyDescent="0.25">
      <c r="B49" s="147" t="s">
        <v>47</v>
      </c>
      <c r="C49" s="148"/>
      <c r="D49" s="148"/>
      <c r="E49" s="148"/>
      <c r="F49" s="148"/>
      <c r="G49" s="149"/>
      <c r="H49" s="51" t="s">
        <v>28</v>
      </c>
      <c r="I49" s="49" t="s">
        <v>29</v>
      </c>
      <c r="J49" s="50" t="s">
        <v>30</v>
      </c>
    </row>
    <row r="50" spans="2:10" ht="15.75" thickBot="1" x14ac:dyDescent="0.3">
      <c r="B50" s="150"/>
      <c r="C50" s="151"/>
      <c r="D50" s="151"/>
      <c r="E50" s="151"/>
      <c r="F50" s="151"/>
      <c r="G50" s="152"/>
      <c r="H50" s="11" t="str">
        <f>IF(NOT(ISERROR(10*(SUM(J54*3,J55*2,J56)/(3*SUM(J54:J58))))),10*(SUM(J54*3,J55*2,J56)/(3*SUM(J54:J58))),"―")</f>
        <v>―</v>
      </c>
      <c r="I50" s="12" t="str">
        <f>IF(OR(ISERROR(VLOOKUP($H50,T$3:$Z$8,7,TRUE)),J52&lt;20),"Not Rated",VLOOKUP($H50,T$3:$Z$8,7,TRUE))</f>
        <v>Not Rated</v>
      </c>
      <c r="J50" s="13" t="str">
        <f>IF(OR(ISERROR(VLOOKUP($H50,U$3:$Z$8,6,TRUE)),J52&lt;20),"Not Rated",VLOOKUP($H50,U$3:$Z$8,6,TRUE))</f>
        <v>Not Rated</v>
      </c>
    </row>
    <row r="51" spans="2:10" x14ac:dyDescent="0.25">
      <c r="B51" s="135"/>
      <c r="C51" s="130"/>
      <c r="D51" s="130"/>
      <c r="E51" s="131"/>
      <c r="F51" s="130"/>
      <c r="G51" s="131"/>
      <c r="H51" s="134" t="s">
        <v>31</v>
      </c>
      <c r="I51" s="39" t="str">
        <f>IF(J52&lt;20,"―",SUM(J54:J57)/J52)</f>
        <v>―</v>
      </c>
      <c r="J51" s="136" t="s">
        <v>49</v>
      </c>
    </row>
    <row r="52" spans="2:10" x14ac:dyDescent="0.25">
      <c r="B52" s="15"/>
      <c r="I52" s="7" t="s">
        <v>9</v>
      </c>
      <c r="J52" s="137">
        <f>SUM(J54:J58)</f>
        <v>0</v>
      </c>
    </row>
    <row r="53" spans="2:10" x14ac:dyDescent="0.25">
      <c r="B53" s="15"/>
      <c r="I53" s="7" t="s">
        <v>8</v>
      </c>
      <c r="J53" s="138" t="str">
        <f>IF(NOT(ISERROR(SUM(J54:J55)/J52)),SUM(J54:J55)/J52,"―")</f>
        <v>―</v>
      </c>
    </row>
    <row r="54" spans="2:10" x14ac:dyDescent="0.25">
      <c r="B54" s="15"/>
      <c r="I54" s="8" t="s">
        <v>1</v>
      </c>
      <c r="J54" s="139"/>
    </row>
    <row r="55" spans="2:10" x14ac:dyDescent="0.25">
      <c r="B55" s="15"/>
      <c r="I55" s="8" t="s">
        <v>4</v>
      </c>
      <c r="J55" s="139"/>
    </row>
    <row r="56" spans="2:10" x14ac:dyDescent="0.25">
      <c r="B56" s="15"/>
      <c r="I56" s="8" t="s">
        <v>3</v>
      </c>
      <c r="J56" s="139"/>
    </row>
    <row r="57" spans="2:10" x14ac:dyDescent="0.25">
      <c r="B57" s="15"/>
      <c r="I57" s="8" t="s">
        <v>2</v>
      </c>
      <c r="J57" s="139"/>
    </row>
    <row r="58" spans="2:10" x14ac:dyDescent="0.25">
      <c r="B58" s="35"/>
      <c r="C58" s="9"/>
      <c r="D58" s="9"/>
      <c r="F58" s="9"/>
      <c r="H58" s="9"/>
      <c r="I58" s="10" t="s">
        <v>5</v>
      </c>
      <c r="J58" s="139"/>
    </row>
    <row r="59" spans="2:10" x14ac:dyDescent="0.25">
      <c r="B59" s="168" t="s">
        <v>131</v>
      </c>
      <c r="C59" s="169"/>
      <c r="D59" s="169"/>
      <c r="E59" s="169"/>
      <c r="F59" s="169"/>
      <c r="G59" s="169"/>
      <c r="H59" s="169"/>
      <c r="I59" s="169"/>
      <c r="J59" s="170"/>
    </row>
    <row r="60" spans="2:10" ht="15.75" thickBot="1" x14ac:dyDescent="0.3">
      <c r="B60" s="171"/>
      <c r="C60" s="172"/>
      <c r="D60" s="172"/>
      <c r="E60" s="172"/>
      <c r="F60" s="172"/>
      <c r="G60" s="172"/>
      <c r="H60" s="172"/>
      <c r="I60" s="172"/>
      <c r="J60" s="173"/>
    </row>
    <row r="61" spans="2:10" x14ac:dyDescent="0.25">
      <c r="B61" s="147" t="s">
        <v>50</v>
      </c>
      <c r="C61" s="148"/>
      <c r="D61" s="148"/>
      <c r="E61" s="148"/>
      <c r="F61" s="148"/>
      <c r="G61" s="149"/>
      <c r="H61" s="51" t="s">
        <v>28</v>
      </c>
      <c r="I61" s="49" t="s">
        <v>29</v>
      </c>
      <c r="J61" s="50" t="s">
        <v>30</v>
      </c>
    </row>
    <row r="62" spans="2:10" ht="15.75" thickBot="1" x14ac:dyDescent="0.3">
      <c r="B62" s="150"/>
      <c r="C62" s="151"/>
      <c r="D62" s="151"/>
      <c r="E62" s="151"/>
      <c r="F62" s="151"/>
      <c r="G62" s="152"/>
      <c r="H62" s="11" t="str">
        <f>IF(H63&lt;20,"―",IF(J64="―",MIN(12.5*(J63*10),MIN(12.5*(J63*10),10)*J64)))</f>
        <v>―</v>
      </c>
      <c r="I62" s="12" t="str">
        <f>IF($H$62="―","Not Rated",VLOOKUP($H$62,V$3:$Z$8,5,TRUE))</f>
        <v>Not Rated</v>
      </c>
      <c r="J62" s="13" t="str">
        <f>IF($H$62="―","Not Rated",VLOOKUP($H$62,W$3:$Z$8,4,TRUE))</f>
        <v>Not Rated</v>
      </c>
    </row>
    <row r="63" spans="2:10" x14ac:dyDescent="0.25">
      <c r="B63" s="42"/>
      <c r="C63" s="43"/>
      <c r="D63" s="43"/>
      <c r="E63" s="43"/>
      <c r="F63" s="43"/>
      <c r="G63" s="80" t="s">
        <v>155</v>
      </c>
      <c r="H63" s="132"/>
      <c r="I63" s="133" t="s">
        <v>51</v>
      </c>
      <c r="J63" s="97" t="str">
        <f>IF(H63=0,"―",H64/H63)</f>
        <v>―</v>
      </c>
    </row>
    <row r="64" spans="2:10" ht="15" customHeight="1" x14ac:dyDescent="0.25">
      <c r="B64" s="15"/>
      <c r="C64" s="223"/>
      <c r="D64" s="223"/>
      <c r="E64" s="223"/>
      <c r="F64" s="223"/>
      <c r="G64" s="8" t="s">
        <v>157</v>
      </c>
      <c r="H64" s="225"/>
      <c r="I64" s="227" t="s">
        <v>31</v>
      </c>
      <c r="J64" s="97" t="str">
        <f>IF(H65=0,"―",H66/H65)</f>
        <v>―</v>
      </c>
    </row>
    <row r="65" spans="2:10" x14ac:dyDescent="0.25">
      <c r="B65" s="15"/>
      <c r="C65" s="223"/>
      <c r="D65" s="223"/>
      <c r="E65" s="223"/>
      <c r="F65" s="223"/>
      <c r="G65" s="8" t="s">
        <v>156</v>
      </c>
      <c r="H65" s="225"/>
      <c r="I65" s="221" t="s">
        <v>154</v>
      </c>
      <c r="J65" s="222"/>
    </row>
    <row r="66" spans="2:10" x14ac:dyDescent="0.25">
      <c r="B66" s="15"/>
      <c r="C66" s="223"/>
      <c r="D66" s="223"/>
      <c r="E66" s="223"/>
      <c r="F66" s="223"/>
      <c r="G66" s="8" t="s">
        <v>158</v>
      </c>
      <c r="H66" s="226"/>
      <c r="I66" s="228"/>
      <c r="J66" s="229"/>
    </row>
    <row r="67" spans="2:10" ht="15" customHeight="1" x14ac:dyDescent="0.25">
      <c r="B67" s="153" t="s">
        <v>159</v>
      </c>
      <c r="C67" s="154"/>
      <c r="D67" s="154"/>
      <c r="E67" s="154"/>
      <c r="F67" s="154"/>
      <c r="G67" s="154"/>
      <c r="H67" s="154"/>
      <c r="I67" s="154"/>
      <c r="J67" s="155"/>
    </row>
    <row r="68" spans="2:10" ht="15.75" thickBot="1" x14ac:dyDescent="0.3">
      <c r="B68" s="159"/>
      <c r="C68" s="160"/>
      <c r="D68" s="160"/>
      <c r="E68" s="160"/>
      <c r="F68" s="160"/>
      <c r="G68" s="160"/>
      <c r="H68" s="160"/>
      <c r="I68" s="160"/>
      <c r="J68" s="161"/>
    </row>
    <row r="69" spans="2:10" ht="14.45" customHeight="1" x14ac:dyDescent="0.25">
      <c r="B69" s="147" t="s">
        <v>52</v>
      </c>
      <c r="C69" s="148"/>
      <c r="D69" s="148"/>
      <c r="E69" s="148"/>
      <c r="F69" s="148"/>
      <c r="G69" s="149"/>
      <c r="H69" s="51" t="s">
        <v>28</v>
      </c>
      <c r="I69" s="49" t="s">
        <v>29</v>
      </c>
      <c r="J69" s="50" t="s">
        <v>30</v>
      </c>
    </row>
    <row r="70" spans="2:10" ht="15" customHeight="1" thickBot="1" x14ac:dyDescent="0.3">
      <c r="B70" s="150"/>
      <c r="C70" s="151"/>
      <c r="D70" s="151"/>
      <c r="E70" s="151"/>
      <c r="F70" s="151"/>
      <c r="G70" s="152"/>
      <c r="H70" s="48"/>
      <c r="I70" s="12" t="str">
        <f>IF(ISBLANK($H$70),"Not Rated",VLOOKUP($H70,X$3:$Z$8,3,TRUE))</f>
        <v>Not Rated</v>
      </c>
      <c r="J70" s="13" t="str">
        <f>IF(ISBLANK($H$70),"Not Rated",VLOOKUP($H70,Y$3:$Z$8,2,TRUE))</f>
        <v>Not Rated</v>
      </c>
    </row>
    <row r="71" spans="2:10" ht="15" customHeight="1" x14ac:dyDescent="0.25">
      <c r="B71" s="177" t="s">
        <v>66</v>
      </c>
      <c r="C71" s="178"/>
      <c r="D71" s="178"/>
      <c r="E71" s="178"/>
      <c r="F71" s="178"/>
      <c r="G71" s="178"/>
      <c r="H71" s="178"/>
      <c r="I71" s="178"/>
      <c r="J71" s="179"/>
    </row>
    <row r="72" spans="2:10" ht="15.75" customHeight="1" x14ac:dyDescent="0.25">
      <c r="B72" s="156"/>
      <c r="C72" s="220"/>
      <c r="D72" s="220"/>
      <c r="E72" s="220"/>
      <c r="F72" s="220"/>
      <c r="G72" s="220"/>
      <c r="H72" s="220"/>
      <c r="I72" s="220"/>
      <c r="J72" s="158"/>
    </row>
    <row r="73" spans="2:10" ht="15.75" thickBot="1" x14ac:dyDescent="0.3">
      <c r="B73" s="159"/>
      <c r="C73" s="160"/>
      <c r="D73" s="160"/>
      <c r="E73" s="160"/>
      <c r="F73" s="160"/>
      <c r="G73" s="160"/>
      <c r="H73" s="160"/>
      <c r="I73" s="160"/>
      <c r="J73" s="161"/>
    </row>
    <row r="76" spans="2:10" ht="15" customHeight="1" x14ac:dyDescent="0.25"/>
  </sheetData>
  <mergeCells count="20">
    <mergeCell ref="B71:J73"/>
    <mergeCell ref="N2:Z2"/>
    <mergeCell ref="B69:G70"/>
    <mergeCell ref="B2:J3"/>
    <mergeCell ref="H6:J9"/>
    <mergeCell ref="B10:G11"/>
    <mergeCell ref="B49:G50"/>
    <mergeCell ref="B59:J60"/>
    <mergeCell ref="B29:F29"/>
    <mergeCell ref="B38:F38"/>
    <mergeCell ref="B61:G62"/>
    <mergeCell ref="B45:J48"/>
    <mergeCell ref="B67:J68"/>
    <mergeCell ref="I65:J66"/>
    <mergeCell ref="A10:A11"/>
    <mergeCell ref="A25:A26"/>
    <mergeCell ref="B25:G26"/>
    <mergeCell ref="B20:J24"/>
    <mergeCell ref="B27:C28"/>
    <mergeCell ref="B36:C37"/>
  </mergeCells>
  <conditionalFormatting sqref="G12 I51">
    <cfRule type="cellIs" dxfId="4" priority="6" operator="between">
      <formula>0.000001</formula>
      <formula>0.9445</formula>
    </cfRule>
  </conditionalFormatting>
  <conditionalFormatting sqref="I30">
    <cfRule type="expression" dxfId="3" priority="2">
      <formula>"&gt;$H$37"</formula>
    </cfRule>
  </conditionalFormatting>
  <conditionalFormatting sqref="I39">
    <cfRule type="expression" dxfId="2" priority="1">
      <formula>"&gt;$H$37"</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53D9E-11EB-4C5E-81CC-502CFE13DC17}">
  <dimension ref="A1:V101"/>
  <sheetViews>
    <sheetView zoomScaleNormal="100" workbookViewId="0">
      <selection activeCell="B2" sqref="B2:J3"/>
    </sheetView>
  </sheetViews>
  <sheetFormatPr defaultRowHeight="15" x14ac:dyDescent="0.25"/>
  <cols>
    <col min="1" max="1" width="4.5703125" customWidth="1"/>
    <col min="2" max="7" width="12.28515625" customWidth="1"/>
    <col min="8" max="10" width="18.28515625" customWidth="1"/>
    <col min="11" max="11" width="4.5703125" customWidth="1"/>
    <col min="14" max="14" width="7.7109375" bestFit="1" customWidth="1"/>
    <col min="15" max="15" width="5.85546875" bestFit="1" customWidth="1"/>
    <col min="16" max="16" width="6.140625" bestFit="1" customWidth="1"/>
    <col min="17" max="17" width="5.85546875" bestFit="1" customWidth="1"/>
    <col min="18" max="18" width="6.7109375" bestFit="1" customWidth="1"/>
    <col min="19" max="19" width="5.28515625" bestFit="1" customWidth="1"/>
    <col min="20" max="20" width="7.140625" bestFit="1" customWidth="1"/>
    <col min="21" max="21" width="5.42578125" bestFit="1" customWidth="1"/>
    <col min="22" max="22" width="12.7109375" bestFit="1" customWidth="1"/>
  </cols>
  <sheetData>
    <row r="1" spans="1:22" ht="15.75" thickBot="1" x14ac:dyDescent="0.3"/>
    <row r="2" spans="1:22" ht="15" customHeight="1" thickBot="1" x14ac:dyDescent="0.3">
      <c r="B2" s="147" t="s">
        <v>161</v>
      </c>
      <c r="C2" s="148"/>
      <c r="D2" s="148"/>
      <c r="E2" s="148"/>
      <c r="F2" s="148"/>
      <c r="G2" s="148"/>
      <c r="H2" s="148"/>
      <c r="I2" s="148"/>
      <c r="J2" s="149"/>
      <c r="N2" s="174" t="s">
        <v>67</v>
      </c>
      <c r="O2" s="175"/>
      <c r="P2" s="175"/>
      <c r="Q2" s="175"/>
      <c r="R2" s="175"/>
      <c r="S2" s="175"/>
      <c r="T2" s="175"/>
      <c r="U2" s="175"/>
      <c r="V2" s="176"/>
    </row>
    <row r="3" spans="1:22" ht="15.75" customHeight="1" thickBot="1" x14ac:dyDescent="0.3">
      <c r="B3" s="150"/>
      <c r="C3" s="151"/>
      <c r="D3" s="151"/>
      <c r="E3" s="151"/>
      <c r="F3" s="151"/>
      <c r="G3" s="151"/>
      <c r="H3" s="151"/>
      <c r="I3" s="151"/>
      <c r="J3" s="152"/>
      <c r="N3" s="61" t="s">
        <v>68</v>
      </c>
      <c r="O3" s="75" t="s">
        <v>69</v>
      </c>
      <c r="P3" s="75" t="s">
        <v>70</v>
      </c>
      <c r="Q3" s="75" t="s">
        <v>73</v>
      </c>
      <c r="R3" s="75" t="s">
        <v>74</v>
      </c>
      <c r="S3" s="75" t="s">
        <v>75</v>
      </c>
      <c r="T3" s="75" t="s">
        <v>72</v>
      </c>
      <c r="U3" s="62" t="s">
        <v>71</v>
      </c>
      <c r="V3" s="66" t="s">
        <v>11</v>
      </c>
    </row>
    <row r="4" spans="1:22" ht="15.75" thickBot="1" x14ac:dyDescent="0.3">
      <c r="B4" s="28"/>
      <c r="C4" s="29"/>
      <c r="D4" s="105" t="s">
        <v>58</v>
      </c>
      <c r="E4" s="106" t="s">
        <v>59</v>
      </c>
      <c r="F4" s="107" t="s">
        <v>60</v>
      </c>
      <c r="G4" s="107" t="s">
        <v>134</v>
      </c>
      <c r="H4" s="209" t="s">
        <v>91</v>
      </c>
      <c r="I4" s="51" t="s">
        <v>61</v>
      </c>
      <c r="J4" s="50" t="s">
        <v>90</v>
      </c>
      <c r="N4" s="67">
        <v>0</v>
      </c>
      <c r="O4" s="76">
        <v>0</v>
      </c>
      <c r="P4" s="76">
        <v>0</v>
      </c>
      <c r="Q4" s="76">
        <v>0</v>
      </c>
      <c r="R4" s="76">
        <v>0</v>
      </c>
      <c r="S4" s="76">
        <v>0</v>
      </c>
      <c r="T4" s="76">
        <v>0</v>
      </c>
      <c r="U4" s="70">
        <v>0</v>
      </c>
      <c r="V4" s="64" t="s">
        <v>26</v>
      </c>
    </row>
    <row r="5" spans="1:22" ht="15.75" thickBot="1" x14ac:dyDescent="0.3">
      <c r="B5" s="15"/>
      <c r="C5" s="114" t="s">
        <v>54</v>
      </c>
      <c r="D5" s="117" t="str">
        <f>I13</f>
        <v>―</v>
      </c>
      <c r="E5" s="52">
        <v>25</v>
      </c>
      <c r="F5" s="56" t="str">
        <f>IF(D5="―","―",IF(D7="―",100-SUM(F6,F8:F11),E5+((SUM(E6,E8:E11)-SUM(F6,F8:F11))/2)))</f>
        <v>―</v>
      </c>
      <c r="G5" s="111" t="str">
        <f t="shared" ref="G5:G11" si="0">IF(D5="―","―",IF(E5=F5,D5,D5*(F5/E5)))</f>
        <v>―</v>
      </c>
      <c r="H5" s="210"/>
      <c r="I5" s="104" t="str">
        <f>IF(AND(D5="―",D7="―"),"―",SUM(G5:G11))</f>
        <v>―</v>
      </c>
      <c r="J5" s="13" t="str">
        <f>IF(I5="―","Not Rated",VLOOKUP(I5,N3:V8,9,TRUE))</f>
        <v>Not Rated</v>
      </c>
      <c r="N5" s="67">
        <v>39.5</v>
      </c>
      <c r="O5" s="76">
        <v>7.22</v>
      </c>
      <c r="P5" s="76">
        <v>2.42</v>
      </c>
      <c r="Q5" s="76">
        <v>7.6</v>
      </c>
      <c r="R5" s="76">
        <v>6.46</v>
      </c>
      <c r="S5" s="76">
        <v>4.8</v>
      </c>
      <c r="T5" s="76">
        <v>2.5099999999999998</v>
      </c>
      <c r="U5" s="70">
        <v>2.3199999999999998</v>
      </c>
      <c r="V5" s="64" t="s">
        <v>25</v>
      </c>
    </row>
    <row r="6" spans="1:22" ht="15" customHeight="1" x14ac:dyDescent="0.25">
      <c r="B6" s="15"/>
      <c r="C6" s="114" t="s">
        <v>56</v>
      </c>
      <c r="D6" s="118" t="str">
        <f>I31</f>
        <v>―</v>
      </c>
      <c r="E6" s="53">
        <v>10</v>
      </c>
      <c r="F6" s="58" t="str">
        <f>IF(D6="―","―",E6)</f>
        <v>―</v>
      </c>
      <c r="G6" s="112" t="str">
        <f t="shared" si="0"/>
        <v>―</v>
      </c>
      <c r="H6" s="211" t="s">
        <v>132</v>
      </c>
      <c r="I6" s="212"/>
      <c r="J6" s="213"/>
      <c r="N6" s="67">
        <v>50.5</v>
      </c>
      <c r="O6" s="76">
        <v>10.220000000000001</v>
      </c>
      <c r="P6" s="76">
        <v>3.74</v>
      </c>
      <c r="Q6" s="76">
        <v>10.130000000000001</v>
      </c>
      <c r="R6" s="76">
        <v>9.5</v>
      </c>
      <c r="S6" s="76">
        <v>6.4</v>
      </c>
      <c r="T6" s="76">
        <v>3.78</v>
      </c>
      <c r="U6" s="70">
        <v>2.79</v>
      </c>
      <c r="V6" s="64" t="s">
        <v>24</v>
      </c>
    </row>
    <row r="7" spans="1:22" x14ac:dyDescent="0.25">
      <c r="B7" s="15"/>
      <c r="C7" s="114" t="s">
        <v>77</v>
      </c>
      <c r="D7" s="118" t="str">
        <f>I47</f>
        <v>―</v>
      </c>
      <c r="E7" s="53">
        <v>19</v>
      </c>
      <c r="F7" s="58" t="str">
        <f>IF(D7="―","―",IF(D5="―",100-SUM(F6,F8:F11),E7+((SUM(E6,E8:E11)-SUM(F6,F8:F11))/2)))</f>
        <v>―</v>
      </c>
      <c r="G7" s="112" t="str">
        <f t="shared" si="0"/>
        <v>―</v>
      </c>
      <c r="H7" s="214"/>
      <c r="I7" s="215"/>
      <c r="J7" s="216"/>
      <c r="N7" s="67">
        <v>59.5</v>
      </c>
      <c r="O7" s="76">
        <v>13.45</v>
      </c>
      <c r="P7" s="76">
        <v>5.3</v>
      </c>
      <c r="Q7" s="76">
        <v>12.67</v>
      </c>
      <c r="R7" s="76">
        <v>12.92</v>
      </c>
      <c r="S7" s="76">
        <v>8</v>
      </c>
      <c r="T7" s="76">
        <v>5.46</v>
      </c>
      <c r="U7" s="70">
        <v>3.4</v>
      </c>
      <c r="V7" s="64" t="s">
        <v>23</v>
      </c>
    </row>
    <row r="8" spans="1:22" ht="15.75" thickBot="1" x14ac:dyDescent="0.3">
      <c r="B8" s="15"/>
      <c r="C8" s="114" t="s">
        <v>78</v>
      </c>
      <c r="D8" s="118" t="str">
        <f>I52</f>
        <v>―</v>
      </c>
      <c r="E8" s="53">
        <v>19</v>
      </c>
      <c r="F8" s="58" t="str">
        <f>IF(D8="―","―",E8)</f>
        <v>―</v>
      </c>
      <c r="G8" s="112" t="str">
        <f t="shared" si="0"/>
        <v>―</v>
      </c>
      <c r="H8" s="214"/>
      <c r="I8" s="215"/>
      <c r="J8" s="216"/>
      <c r="N8" s="71">
        <v>66.5</v>
      </c>
      <c r="O8" s="77">
        <v>15.91</v>
      </c>
      <c r="P8" s="77">
        <v>6.2</v>
      </c>
      <c r="Q8" s="77">
        <v>15.2</v>
      </c>
      <c r="R8" s="77">
        <v>14.82</v>
      </c>
      <c r="S8" s="77">
        <v>9.6</v>
      </c>
      <c r="T8" s="77">
        <v>6.59</v>
      </c>
      <c r="U8" s="74">
        <v>3.76</v>
      </c>
      <c r="V8" s="65" t="s">
        <v>22</v>
      </c>
    </row>
    <row r="9" spans="1:22" x14ac:dyDescent="0.25">
      <c r="B9" s="15"/>
      <c r="C9" s="114" t="s">
        <v>76</v>
      </c>
      <c r="D9" s="118" t="str">
        <f>I68</f>
        <v>―</v>
      </c>
      <c r="E9" s="53">
        <v>12</v>
      </c>
      <c r="F9" s="58" t="str">
        <f>IF(D9="―","―",E9)</f>
        <v>―</v>
      </c>
      <c r="G9" s="112" t="str">
        <f t="shared" si="0"/>
        <v>―</v>
      </c>
      <c r="H9" s="214"/>
      <c r="I9" s="215"/>
      <c r="J9" s="216"/>
      <c r="L9" s="60"/>
    </row>
    <row r="10" spans="1:22" x14ac:dyDescent="0.25">
      <c r="B10" s="15"/>
      <c r="C10" s="114" t="s">
        <v>53</v>
      </c>
      <c r="D10" s="118" t="str">
        <f>I78</f>
        <v>―</v>
      </c>
      <c r="E10" s="53">
        <v>10</v>
      </c>
      <c r="F10" s="58" t="str">
        <f>IF(D10="―","―",E10)</f>
        <v>―</v>
      </c>
      <c r="G10" s="112" t="str">
        <f t="shared" si="0"/>
        <v>―</v>
      </c>
      <c r="H10" s="214"/>
      <c r="I10" s="215"/>
      <c r="J10" s="216"/>
      <c r="O10" s="145"/>
      <c r="P10" s="145"/>
      <c r="Q10" s="145"/>
      <c r="R10" s="145"/>
      <c r="S10" s="145"/>
      <c r="T10" s="145"/>
      <c r="U10" s="145"/>
    </row>
    <row r="11" spans="1:22" ht="15" customHeight="1" thickBot="1" x14ac:dyDescent="0.3">
      <c r="B11" s="45"/>
      <c r="C11" s="115" t="s">
        <v>57</v>
      </c>
      <c r="D11" s="119" t="str">
        <f>IF(ISBLANK(I86),"―",I86)</f>
        <v>―</v>
      </c>
      <c r="E11" s="54">
        <v>5</v>
      </c>
      <c r="F11" s="58" t="str">
        <f>IF(D11="―","―",E11)</f>
        <v>―</v>
      </c>
      <c r="G11" s="113" t="str">
        <f t="shared" si="0"/>
        <v>―</v>
      </c>
      <c r="H11" s="217"/>
      <c r="I11" s="218"/>
      <c r="J11" s="219"/>
    </row>
    <row r="12" spans="1:22" ht="15" customHeight="1" x14ac:dyDescent="0.25">
      <c r="A12" s="78"/>
      <c r="B12" s="147" t="s">
        <v>0</v>
      </c>
      <c r="C12" s="148"/>
      <c r="D12" s="148"/>
      <c r="E12" s="148"/>
      <c r="F12" s="148"/>
      <c r="G12" s="148"/>
      <c r="H12" s="149"/>
      <c r="I12" s="49" t="s">
        <v>28</v>
      </c>
      <c r="J12" s="50" t="s">
        <v>89</v>
      </c>
    </row>
    <row r="13" spans="1:22" ht="15" customHeight="1" thickBot="1" x14ac:dyDescent="0.3">
      <c r="A13" s="78"/>
      <c r="B13" s="150"/>
      <c r="C13" s="151"/>
      <c r="D13" s="151"/>
      <c r="E13" s="151"/>
      <c r="F13" s="151"/>
      <c r="G13" s="151"/>
      <c r="H13" s="152"/>
      <c r="I13" s="14" t="str">
        <f>IF(J15&lt;20,"―",IF(G14&lt;0.95,-5,0)+(25*(SUM(J17*4,J18*3,J19*2,J20)/SUM(3*J23,4*J24))))</f>
        <v>―</v>
      </c>
      <c r="J13" s="13" t="str">
        <f>IF($I$13="―","Not Rated",VLOOKUP($I13,O3:V8,8,TRUE))</f>
        <v>Not Rated</v>
      </c>
    </row>
    <row r="14" spans="1:22" ht="15" customHeight="1" x14ac:dyDescent="0.25">
      <c r="B14" s="90"/>
      <c r="C14" s="91"/>
      <c r="D14" s="91"/>
      <c r="E14" s="91"/>
      <c r="F14" s="92" t="s">
        <v>31</v>
      </c>
      <c r="G14" s="39" t="str">
        <f>IF(J15&lt;20,"―",SUM(H17:I21)/SUM(H17:I22))</f>
        <v>―</v>
      </c>
      <c r="H14" s="30" t="s">
        <v>79</v>
      </c>
      <c r="I14" s="30" t="s">
        <v>80</v>
      </c>
      <c r="J14" s="31" t="s">
        <v>10</v>
      </c>
    </row>
    <row r="15" spans="1:22" ht="15" customHeight="1" x14ac:dyDescent="0.25">
      <c r="B15" s="15"/>
      <c r="G15" s="7" t="s">
        <v>9</v>
      </c>
      <c r="H15" s="20">
        <f>SUM(H23:H24)</f>
        <v>0</v>
      </c>
      <c r="I15" s="20">
        <f>SUM(I23:I24)</f>
        <v>0</v>
      </c>
      <c r="J15" s="23">
        <f>SUM(J23:J24)</f>
        <v>0</v>
      </c>
    </row>
    <row r="16" spans="1:22" ht="15" customHeight="1" x14ac:dyDescent="0.25">
      <c r="B16" s="15"/>
      <c r="G16" s="7" t="s">
        <v>81</v>
      </c>
      <c r="H16" s="21" t="str">
        <f>IF(H15&lt;20,"―",SUM(H17:H19)/H15)</f>
        <v>―</v>
      </c>
      <c r="I16" s="21" t="str">
        <f>IF(I15&lt;20,"―",SUM(I17:I19)/I15)</f>
        <v>―</v>
      </c>
      <c r="J16" s="24" t="str">
        <f>IF(J15&lt;20,"―",SUM(J17:J19)/J15)</f>
        <v>―</v>
      </c>
    </row>
    <row r="17" spans="1:10" x14ac:dyDescent="0.25">
      <c r="B17" s="15"/>
      <c r="G17" s="8" t="s">
        <v>88</v>
      </c>
      <c r="H17" s="40"/>
      <c r="I17" s="1"/>
      <c r="J17" s="23">
        <f t="shared" ref="J17:J24" si="1">SUM(H17:I17)</f>
        <v>0</v>
      </c>
    </row>
    <row r="18" spans="1:10" x14ac:dyDescent="0.25">
      <c r="B18" s="15"/>
      <c r="G18" s="8" t="s">
        <v>82</v>
      </c>
      <c r="H18" s="4"/>
      <c r="I18" s="2"/>
      <c r="J18" s="23">
        <f t="shared" si="1"/>
        <v>0</v>
      </c>
    </row>
    <row r="19" spans="1:10" x14ac:dyDescent="0.25">
      <c r="B19" s="15"/>
      <c r="G19" s="8" t="s">
        <v>83</v>
      </c>
      <c r="H19" s="4"/>
      <c r="I19" s="2"/>
      <c r="J19" s="23">
        <f t="shared" ref="J19" si="2">SUM(H19:I19)</f>
        <v>0</v>
      </c>
    </row>
    <row r="20" spans="1:10" ht="15" customHeight="1" x14ac:dyDescent="0.25">
      <c r="B20" s="15"/>
      <c r="G20" s="8" t="s">
        <v>84</v>
      </c>
      <c r="H20" s="4"/>
      <c r="I20" s="2"/>
      <c r="J20" s="23">
        <f t="shared" si="1"/>
        <v>0</v>
      </c>
    </row>
    <row r="21" spans="1:10" ht="15" customHeight="1" x14ac:dyDescent="0.25">
      <c r="B21" s="15"/>
      <c r="G21" s="8" t="s">
        <v>85</v>
      </c>
      <c r="H21" s="4"/>
      <c r="I21" s="2"/>
      <c r="J21" s="23">
        <f t="shared" si="1"/>
        <v>0</v>
      </c>
    </row>
    <row r="22" spans="1:10" ht="15.75" customHeight="1" x14ac:dyDescent="0.25">
      <c r="B22" s="15"/>
      <c r="G22" s="8" t="s">
        <v>5</v>
      </c>
      <c r="H22" s="79"/>
      <c r="I22" s="19"/>
      <c r="J22" s="23">
        <f t="shared" si="1"/>
        <v>0</v>
      </c>
    </row>
    <row r="23" spans="1:10" ht="15.75" customHeight="1" x14ac:dyDescent="0.25">
      <c r="B23" s="15"/>
      <c r="G23" s="8" t="s">
        <v>86</v>
      </c>
      <c r="H23" s="79"/>
      <c r="I23" s="19"/>
      <c r="J23" s="32">
        <f t="shared" si="1"/>
        <v>0</v>
      </c>
    </row>
    <row r="24" spans="1:10" ht="15.75" customHeight="1" x14ac:dyDescent="0.25">
      <c r="B24" s="15"/>
      <c r="G24" s="10" t="s">
        <v>87</v>
      </c>
      <c r="H24" s="20">
        <f>SUM(H17:H22)-H23</f>
        <v>0</v>
      </c>
      <c r="I24" s="20">
        <f>SUM(I17:I22)-I23</f>
        <v>0</v>
      </c>
      <c r="J24" s="23">
        <f t="shared" si="1"/>
        <v>0</v>
      </c>
    </row>
    <row r="25" spans="1:10" x14ac:dyDescent="0.25">
      <c r="B25" s="153" t="s">
        <v>48</v>
      </c>
      <c r="C25" s="154"/>
      <c r="D25" s="154"/>
      <c r="E25" s="154"/>
      <c r="F25" s="154"/>
      <c r="G25" s="154"/>
      <c r="H25" s="154"/>
      <c r="I25" s="154"/>
      <c r="J25" s="155"/>
    </row>
    <row r="26" spans="1:10" x14ac:dyDescent="0.25">
      <c r="B26" s="156"/>
      <c r="C26" s="157"/>
      <c r="D26" s="157"/>
      <c r="E26" s="157"/>
      <c r="F26" s="157"/>
      <c r="G26" s="157"/>
      <c r="H26" s="157"/>
      <c r="I26" s="157"/>
      <c r="J26" s="158"/>
    </row>
    <row r="27" spans="1:10" x14ac:dyDescent="0.25">
      <c r="A27" s="146"/>
      <c r="B27" s="156"/>
      <c r="C27" s="157"/>
      <c r="D27" s="157"/>
      <c r="E27" s="157"/>
      <c r="F27" s="157"/>
      <c r="G27" s="157"/>
      <c r="H27" s="157"/>
      <c r="I27" s="157"/>
      <c r="J27" s="158"/>
    </row>
    <row r="28" spans="1:10" x14ac:dyDescent="0.25">
      <c r="A28" s="146"/>
      <c r="B28" s="156"/>
      <c r="C28" s="157"/>
      <c r="D28" s="157"/>
      <c r="E28" s="157"/>
      <c r="F28" s="157"/>
      <c r="G28" s="157"/>
      <c r="H28" s="157"/>
      <c r="I28" s="157"/>
      <c r="J28" s="158"/>
    </row>
    <row r="29" spans="1:10" ht="15.75" thickBot="1" x14ac:dyDescent="0.3">
      <c r="B29" s="156"/>
      <c r="C29" s="157"/>
      <c r="D29" s="157"/>
      <c r="E29" s="157"/>
      <c r="F29" s="157"/>
      <c r="G29" s="157"/>
      <c r="H29" s="157"/>
      <c r="I29" s="157"/>
      <c r="J29" s="158"/>
    </row>
    <row r="30" spans="1:10" ht="15" customHeight="1" x14ac:dyDescent="0.25">
      <c r="A30" s="78"/>
      <c r="B30" s="147" t="s">
        <v>47</v>
      </c>
      <c r="C30" s="148"/>
      <c r="D30" s="148"/>
      <c r="E30" s="148"/>
      <c r="F30" s="148"/>
      <c r="G30" s="148"/>
      <c r="H30" s="149"/>
      <c r="I30" s="49" t="s">
        <v>28</v>
      </c>
      <c r="J30" s="50" t="s">
        <v>89</v>
      </c>
    </row>
    <row r="31" spans="1:10" ht="15" customHeight="1" thickBot="1" x14ac:dyDescent="0.3">
      <c r="A31" s="78"/>
      <c r="B31" s="150"/>
      <c r="C31" s="151"/>
      <c r="D31" s="151"/>
      <c r="E31" s="151"/>
      <c r="F31" s="151"/>
      <c r="G31" s="151"/>
      <c r="H31" s="152"/>
      <c r="I31" s="14" t="str">
        <f>IF(J33&lt;20,"―",(10*(SUM(J35*4,J36*3,J37*2,J38)/SUM(3*J41,4*J42))))</f>
        <v>―</v>
      </c>
      <c r="J31" s="13" t="str">
        <f>IF($I$13="―","Not Rated",VLOOKUP($I31,P3:V8,7,TRUE))</f>
        <v>Not Rated</v>
      </c>
    </row>
    <row r="32" spans="1:10" ht="15" customHeight="1" x14ac:dyDescent="0.25">
      <c r="B32" s="90"/>
      <c r="C32" s="91"/>
      <c r="D32" s="91"/>
      <c r="E32" s="91"/>
      <c r="F32" s="92" t="s">
        <v>92</v>
      </c>
      <c r="G32" s="39" t="str">
        <f>IF(J33&lt;20,"―",SUM(I35:I39)/SUM(I35:I40))</f>
        <v>―</v>
      </c>
      <c r="H32" s="30" t="s">
        <v>93</v>
      </c>
      <c r="I32" s="30" t="s">
        <v>94</v>
      </c>
      <c r="J32" s="31" t="s">
        <v>10</v>
      </c>
    </row>
    <row r="33" spans="2:10" ht="15" customHeight="1" x14ac:dyDescent="0.25">
      <c r="B33" s="15"/>
      <c r="G33" s="7" t="s">
        <v>9</v>
      </c>
      <c r="H33" s="20">
        <f>SUM(H41:H42)</f>
        <v>0</v>
      </c>
      <c r="I33" s="20">
        <f>SUM(I41:I42)</f>
        <v>0</v>
      </c>
      <c r="J33" s="23">
        <f>SUM(J41:J42)</f>
        <v>0</v>
      </c>
    </row>
    <row r="34" spans="2:10" ht="15" customHeight="1" x14ac:dyDescent="0.25">
      <c r="B34" s="15"/>
      <c r="G34" s="7" t="s">
        <v>81</v>
      </c>
      <c r="H34" s="21" t="str">
        <f>IF(H33&lt;20,"―",SUM(H35:H37)/H33)</f>
        <v>―</v>
      </c>
      <c r="I34" s="21" t="str">
        <f>IF(I33&lt;20,"―",SUM(I35:I37)/I33)</f>
        <v>―</v>
      </c>
      <c r="J34" s="24" t="str">
        <f>IF(J33&lt;20,"―",SUM(J35:J37)/J33)</f>
        <v>―</v>
      </c>
    </row>
    <row r="35" spans="2:10" x14ac:dyDescent="0.25">
      <c r="B35" s="15"/>
      <c r="G35" s="8" t="s">
        <v>88</v>
      </c>
      <c r="H35" s="40"/>
      <c r="I35" s="1"/>
      <c r="J35" s="23">
        <f t="shared" ref="J35:J36" si="3">SUM(H35:I35)</f>
        <v>0</v>
      </c>
    </row>
    <row r="36" spans="2:10" x14ac:dyDescent="0.25">
      <c r="B36" s="15"/>
      <c r="G36" s="8" t="s">
        <v>82</v>
      </c>
      <c r="H36" s="4"/>
      <c r="I36" s="2"/>
      <c r="J36" s="23">
        <f t="shared" si="3"/>
        <v>0</v>
      </c>
    </row>
    <row r="37" spans="2:10" x14ac:dyDescent="0.25">
      <c r="B37" s="15"/>
      <c r="G37" s="8" t="s">
        <v>83</v>
      </c>
      <c r="H37" s="4"/>
      <c r="I37" s="2"/>
      <c r="J37" s="23">
        <f t="shared" ref="J37" si="4">SUM(H37:I37)</f>
        <v>0</v>
      </c>
    </row>
    <row r="38" spans="2:10" ht="15" customHeight="1" x14ac:dyDescent="0.25">
      <c r="B38" s="15"/>
      <c r="G38" s="8" t="s">
        <v>84</v>
      </c>
      <c r="H38" s="4"/>
      <c r="I38" s="2"/>
      <c r="J38" s="23">
        <f t="shared" ref="J38:J42" si="5">SUM(H38:I38)</f>
        <v>0</v>
      </c>
    </row>
    <row r="39" spans="2:10" ht="15" customHeight="1" x14ac:dyDescent="0.25">
      <c r="B39" s="15"/>
      <c r="G39" s="8" t="s">
        <v>85</v>
      </c>
      <c r="H39" s="4"/>
      <c r="I39" s="2"/>
      <c r="J39" s="23">
        <f t="shared" si="5"/>
        <v>0</v>
      </c>
    </row>
    <row r="40" spans="2:10" ht="15.75" customHeight="1" x14ac:dyDescent="0.25">
      <c r="B40" s="15"/>
      <c r="G40" s="8" t="s">
        <v>5</v>
      </c>
      <c r="H40" s="79"/>
      <c r="I40" s="19"/>
      <c r="J40" s="23">
        <f t="shared" si="5"/>
        <v>0</v>
      </c>
    </row>
    <row r="41" spans="2:10" ht="15.75" customHeight="1" x14ac:dyDescent="0.25">
      <c r="B41" s="15"/>
      <c r="G41" s="8" t="s">
        <v>86</v>
      </c>
      <c r="H41" s="79"/>
      <c r="I41" s="19"/>
      <c r="J41" s="32">
        <f t="shared" si="5"/>
        <v>0</v>
      </c>
    </row>
    <row r="42" spans="2:10" ht="15.75" customHeight="1" x14ac:dyDescent="0.25">
      <c r="B42" s="15"/>
      <c r="G42" s="10" t="s">
        <v>87</v>
      </c>
      <c r="H42" s="20">
        <f>SUM(H35:H40)-H41</f>
        <v>0</v>
      </c>
      <c r="I42" s="20">
        <f>SUM(I35:I40)-I41</f>
        <v>0</v>
      </c>
      <c r="J42" s="23">
        <f t="shared" si="5"/>
        <v>0</v>
      </c>
    </row>
    <row r="43" spans="2:10" ht="15" customHeight="1" x14ac:dyDescent="0.25">
      <c r="B43" s="153" t="s">
        <v>95</v>
      </c>
      <c r="C43" s="154"/>
      <c r="D43" s="154"/>
      <c r="E43" s="154"/>
      <c r="F43" s="154"/>
      <c r="G43" s="154"/>
      <c r="H43" s="154"/>
      <c r="I43" s="154"/>
      <c r="J43" s="155"/>
    </row>
    <row r="44" spans="2:10" x14ac:dyDescent="0.25">
      <c r="B44" s="156"/>
      <c r="C44" s="157"/>
      <c r="D44" s="157"/>
      <c r="E44" s="157"/>
      <c r="F44" s="157"/>
      <c r="G44" s="157"/>
      <c r="H44" s="157"/>
      <c r="I44" s="157"/>
      <c r="J44" s="158"/>
    </row>
    <row r="45" spans="2:10" ht="15.75" thickBot="1" x14ac:dyDescent="0.3">
      <c r="B45" s="159"/>
      <c r="C45" s="160"/>
      <c r="D45" s="160"/>
      <c r="E45" s="160"/>
      <c r="F45" s="160"/>
      <c r="G45" s="160"/>
      <c r="H45" s="160"/>
      <c r="I45" s="160"/>
      <c r="J45" s="161"/>
    </row>
    <row r="46" spans="2:10" ht="15" customHeight="1" x14ac:dyDescent="0.25">
      <c r="B46" s="147" t="s">
        <v>96</v>
      </c>
      <c r="C46" s="148"/>
      <c r="D46" s="148"/>
      <c r="E46" s="148"/>
      <c r="F46" s="148"/>
      <c r="G46" s="148"/>
      <c r="H46" s="149"/>
      <c r="I46" s="51" t="s">
        <v>28</v>
      </c>
      <c r="J46" s="50" t="s">
        <v>89</v>
      </c>
    </row>
    <row r="47" spans="2:10" ht="15.75" customHeight="1" thickBot="1" x14ac:dyDescent="0.3">
      <c r="B47" s="150"/>
      <c r="C47" s="151"/>
      <c r="D47" s="151"/>
      <c r="E47" s="151"/>
      <c r="F47" s="151"/>
      <c r="G47" s="151"/>
      <c r="H47" s="152"/>
      <c r="I47" s="11" t="str">
        <f>IF(H50&lt;20,"―",MAX(19*((H48-0.5)/0.5),0))</f>
        <v>―</v>
      </c>
      <c r="J47" s="13" t="str">
        <f>IF(I47="―","Not Rated",VLOOKUP(I47,Q3:V8,6,TRUE))</f>
        <v>Not Rated</v>
      </c>
    </row>
    <row r="48" spans="2:10" x14ac:dyDescent="0.25">
      <c r="B48" s="42"/>
      <c r="C48" s="43"/>
      <c r="D48" s="43"/>
      <c r="E48" s="43"/>
      <c r="F48" s="43"/>
      <c r="G48" s="44" t="s">
        <v>97</v>
      </c>
      <c r="H48" s="81" t="str">
        <f>IF(H50=0,"―",H49/H50)</f>
        <v>―</v>
      </c>
      <c r="I48" s="203" t="s">
        <v>99</v>
      </c>
      <c r="J48" s="204"/>
    </row>
    <row r="49" spans="2:10" x14ac:dyDescent="0.25">
      <c r="B49" s="15"/>
      <c r="G49" s="8" t="s">
        <v>98</v>
      </c>
      <c r="H49" s="41"/>
      <c r="I49" s="205"/>
      <c r="J49" s="206"/>
    </row>
    <row r="50" spans="2:10" ht="15.75" thickBot="1" x14ac:dyDescent="0.3">
      <c r="B50" s="15"/>
      <c r="G50" s="8" t="s">
        <v>151</v>
      </c>
      <c r="H50" s="47"/>
      <c r="I50" s="207"/>
      <c r="J50" s="208"/>
    </row>
    <row r="51" spans="2:10" ht="15" customHeight="1" x14ac:dyDescent="0.25">
      <c r="B51" s="147" t="s">
        <v>100</v>
      </c>
      <c r="C51" s="148"/>
      <c r="D51" s="148"/>
      <c r="E51" s="148"/>
      <c r="F51" s="148"/>
      <c r="G51" s="148"/>
      <c r="H51" s="149"/>
      <c r="I51" s="51" t="s">
        <v>28</v>
      </c>
      <c r="J51" s="50" t="s">
        <v>89</v>
      </c>
    </row>
    <row r="52" spans="2:10" ht="15.75" customHeight="1" thickBot="1" x14ac:dyDescent="0.3">
      <c r="B52" s="150"/>
      <c r="C52" s="151"/>
      <c r="D52" s="151"/>
      <c r="E52" s="151"/>
      <c r="F52" s="151"/>
      <c r="G52" s="151"/>
      <c r="H52" s="152"/>
      <c r="I52" s="11" t="str">
        <f>IF(OR(H50&lt;20,ISBLANK(J54)),"―",MAX(19*(J54/H50),0))</f>
        <v>―</v>
      </c>
      <c r="J52" s="13" t="str">
        <f>IF(I52="―","Not Rated",VLOOKUP(I52,R$3:$V$8,5,TRUE))</f>
        <v>Not Rated</v>
      </c>
    </row>
    <row r="53" spans="2:10" ht="15.75" customHeight="1" x14ac:dyDescent="0.25">
      <c r="B53" s="198" t="s">
        <v>106</v>
      </c>
      <c r="C53" s="187"/>
      <c r="D53" s="187"/>
      <c r="E53" s="187"/>
      <c r="F53" s="187"/>
      <c r="G53" s="187"/>
      <c r="H53" s="187"/>
      <c r="I53" s="187" t="s">
        <v>113</v>
      </c>
      <c r="J53" s="188"/>
    </row>
    <row r="54" spans="2:10" ht="15.75" customHeight="1" x14ac:dyDescent="0.25">
      <c r="B54" s="85"/>
      <c r="C54" s="83"/>
      <c r="D54" s="83"/>
      <c r="E54" s="83"/>
      <c r="F54" s="83"/>
      <c r="G54" s="84" t="s">
        <v>101</v>
      </c>
      <c r="H54" s="86"/>
      <c r="I54" s="190" t="s">
        <v>117</v>
      </c>
      <c r="J54" s="98"/>
    </row>
    <row r="55" spans="2:10" ht="15.75" customHeight="1" x14ac:dyDescent="0.25">
      <c r="B55" s="15"/>
      <c r="C55" s="223"/>
      <c r="D55" s="223"/>
      <c r="E55" s="223"/>
      <c r="F55" s="223"/>
      <c r="G55" s="224" t="s">
        <v>152</v>
      </c>
      <c r="H55" s="87"/>
      <c r="I55" s="191"/>
      <c r="J55" s="99" t="str">
        <f>IF(ISBLANK(H50),"―",J54/$H$50)</f>
        <v>―</v>
      </c>
    </row>
    <row r="56" spans="2:10" ht="15.75" customHeight="1" x14ac:dyDescent="0.25">
      <c r="B56" s="15"/>
      <c r="C56" s="223"/>
      <c r="D56" s="223"/>
      <c r="E56" s="223"/>
      <c r="F56" s="223"/>
      <c r="G56" s="224" t="s">
        <v>104</v>
      </c>
      <c r="H56" s="87"/>
      <c r="I56" s="190" t="s">
        <v>116</v>
      </c>
      <c r="J56" s="100"/>
    </row>
    <row r="57" spans="2:10" ht="15.75" customHeight="1" x14ac:dyDescent="0.25">
      <c r="B57" s="15"/>
      <c r="C57" s="223"/>
      <c r="D57" s="223"/>
      <c r="E57" s="223"/>
      <c r="F57" s="223"/>
      <c r="G57" s="224" t="s">
        <v>103</v>
      </c>
      <c r="H57" s="87"/>
      <c r="I57" s="191"/>
      <c r="J57" s="99" t="str">
        <f>IF(ISBLANK(H50),"―",J56/$H$50)</f>
        <v>―</v>
      </c>
    </row>
    <row r="58" spans="2:10" ht="15.75" customHeight="1" x14ac:dyDescent="0.25">
      <c r="B58" s="15"/>
      <c r="C58" s="223"/>
      <c r="D58" s="223"/>
      <c r="E58" s="223"/>
      <c r="F58" s="223"/>
      <c r="G58" s="224" t="s">
        <v>105</v>
      </c>
      <c r="H58" s="87"/>
      <c r="I58" s="190" t="s">
        <v>115</v>
      </c>
      <c r="J58" s="100"/>
    </row>
    <row r="59" spans="2:10" ht="15.75" customHeight="1" x14ac:dyDescent="0.25">
      <c r="B59" s="15"/>
      <c r="C59" s="223"/>
      <c r="D59" s="223"/>
      <c r="E59" s="223"/>
      <c r="F59" s="223"/>
      <c r="G59" s="224" t="s">
        <v>160</v>
      </c>
      <c r="H59" s="87"/>
      <c r="I59" s="191"/>
      <c r="J59" s="99" t="str">
        <f>IF(ISBLANK(H50),"―",J58/$H$50)</f>
        <v>―</v>
      </c>
    </row>
    <row r="60" spans="2:10" ht="15.75" customHeight="1" x14ac:dyDescent="0.25">
      <c r="B60" s="35"/>
      <c r="C60" s="9"/>
      <c r="D60" s="9"/>
      <c r="E60" s="9"/>
      <c r="F60" s="9"/>
      <c r="G60" s="33" t="s">
        <v>102</v>
      </c>
      <c r="H60" s="88"/>
      <c r="I60" s="190" t="s">
        <v>114</v>
      </c>
      <c r="J60" s="101"/>
    </row>
    <row r="61" spans="2:10" ht="15.75" customHeight="1" x14ac:dyDescent="0.25">
      <c r="B61" s="180" t="s">
        <v>112</v>
      </c>
      <c r="C61" s="181"/>
      <c r="D61" s="181"/>
      <c r="E61" s="181"/>
      <c r="F61" s="181"/>
      <c r="G61" s="181"/>
      <c r="H61" s="199"/>
      <c r="I61" s="191"/>
      <c r="J61" s="99" t="str">
        <f>IF(ISBLANK(H50),"―",J60/$H$50)</f>
        <v>―</v>
      </c>
    </row>
    <row r="62" spans="2:10" ht="15.75" customHeight="1" x14ac:dyDescent="0.25">
      <c r="B62" s="15"/>
      <c r="C62" s="223"/>
      <c r="D62" s="223"/>
      <c r="E62" s="223"/>
      <c r="F62" s="223"/>
      <c r="G62" s="224" t="s">
        <v>107</v>
      </c>
      <c r="H62" s="86"/>
      <c r="I62" s="185" t="s">
        <v>118</v>
      </c>
      <c r="J62" s="155"/>
    </row>
    <row r="63" spans="2:10" ht="15.75" customHeight="1" x14ac:dyDescent="0.25">
      <c r="B63" s="15"/>
      <c r="C63" s="223"/>
      <c r="D63" s="223"/>
      <c r="E63" s="223"/>
      <c r="F63" s="223"/>
      <c r="G63" s="224" t="s">
        <v>108</v>
      </c>
      <c r="H63" s="87"/>
      <c r="I63" s="189"/>
      <c r="J63" s="158"/>
    </row>
    <row r="64" spans="2:10" ht="15.75" customHeight="1" x14ac:dyDescent="0.25">
      <c r="B64" s="15"/>
      <c r="C64" s="223"/>
      <c r="D64" s="223"/>
      <c r="E64" s="223"/>
      <c r="F64" s="223"/>
      <c r="G64" s="224" t="s">
        <v>109</v>
      </c>
      <c r="H64" s="87"/>
      <c r="I64" s="189"/>
      <c r="J64" s="158"/>
    </row>
    <row r="65" spans="2:10" ht="15.75" customHeight="1" x14ac:dyDescent="0.25">
      <c r="B65" s="15"/>
      <c r="C65" s="223"/>
      <c r="D65" s="223"/>
      <c r="E65" s="223"/>
      <c r="F65" s="223"/>
      <c r="G65" s="224" t="s">
        <v>110</v>
      </c>
      <c r="H65" s="87"/>
      <c r="I65" s="189"/>
      <c r="J65" s="158"/>
    </row>
    <row r="66" spans="2:10" ht="15.75" customHeight="1" thickBot="1" x14ac:dyDescent="0.3">
      <c r="B66" s="45"/>
      <c r="C66" s="46"/>
      <c r="D66" s="46"/>
      <c r="E66" s="46"/>
      <c r="F66" s="46"/>
      <c r="G66" s="82" t="s">
        <v>111</v>
      </c>
      <c r="H66" s="89"/>
      <c r="I66" s="186"/>
      <c r="J66" s="161"/>
    </row>
    <row r="67" spans="2:10" ht="15.75" customHeight="1" x14ac:dyDescent="0.25">
      <c r="B67" s="147" t="s">
        <v>124</v>
      </c>
      <c r="C67" s="148"/>
      <c r="D67" s="148"/>
      <c r="E67" s="148"/>
      <c r="F67" s="148"/>
      <c r="G67" s="148"/>
      <c r="H67" s="149"/>
      <c r="I67" s="51" t="s">
        <v>28</v>
      </c>
      <c r="J67" s="50" t="s">
        <v>89</v>
      </c>
    </row>
    <row r="68" spans="2:10" ht="15.75" customHeight="1" thickBot="1" x14ac:dyDescent="0.3">
      <c r="B68" s="150"/>
      <c r="C68" s="151"/>
      <c r="D68" s="151"/>
      <c r="E68" s="151"/>
      <c r="F68" s="151"/>
      <c r="G68" s="151"/>
      <c r="H68" s="152"/>
      <c r="I68" s="11" t="str">
        <f>IF(G69&lt;20,"―",MAX(12*((J69-0.5)/0.5),0))</f>
        <v>―</v>
      </c>
      <c r="J68" s="13" t="str">
        <f>IF(I68="―","Not Rated",VLOOKUP(I68,$S$3:$V$8,4,TRUE))</f>
        <v>Not Rated</v>
      </c>
    </row>
    <row r="69" spans="2:10" ht="15.75" customHeight="1" x14ac:dyDescent="0.25">
      <c r="B69" s="127"/>
      <c r="C69" s="230"/>
      <c r="D69" s="230"/>
      <c r="E69" s="223"/>
      <c r="F69" s="231" t="s">
        <v>129</v>
      </c>
      <c r="G69" s="128">
        <f>SUM(G72,J72,J75,G75)</f>
        <v>0</v>
      </c>
      <c r="H69" s="95"/>
      <c r="I69" s="96" t="s">
        <v>128</v>
      </c>
      <c r="J69" s="97" t="str">
        <f>IF(ISERROR(SUM(G71,J71,J74,G74)/G69),"―",SUM(G71,J71,J74,G74)/G69)</f>
        <v>―</v>
      </c>
    </row>
    <row r="70" spans="2:10" ht="15.75" customHeight="1" x14ac:dyDescent="0.25">
      <c r="B70" s="192" t="s">
        <v>122</v>
      </c>
      <c r="C70" s="193"/>
      <c r="D70" s="193"/>
      <c r="E70" s="193"/>
      <c r="F70" s="193"/>
      <c r="G70" s="194"/>
      <c r="H70" s="200" t="s">
        <v>123</v>
      </c>
      <c r="I70" s="201"/>
      <c r="J70" s="202"/>
    </row>
    <row r="71" spans="2:10" ht="15.75" customHeight="1" x14ac:dyDescent="0.25">
      <c r="B71" s="15"/>
      <c r="C71" s="223"/>
      <c r="D71" s="223"/>
      <c r="E71" s="223"/>
      <c r="F71" s="224" t="s">
        <v>119</v>
      </c>
      <c r="G71" s="125"/>
      <c r="H71" s="93"/>
      <c r="I71" s="224" t="s">
        <v>120</v>
      </c>
      <c r="J71" s="108"/>
    </row>
    <row r="72" spans="2:10" ht="15.75" customHeight="1" x14ac:dyDescent="0.25">
      <c r="B72" s="35"/>
      <c r="C72" s="9"/>
      <c r="D72" s="9"/>
      <c r="E72" s="223"/>
      <c r="F72" s="33" t="s">
        <v>163</v>
      </c>
      <c r="G72" s="126"/>
      <c r="H72" s="94"/>
      <c r="I72" s="33" t="s">
        <v>165</v>
      </c>
      <c r="J72" s="109"/>
    </row>
    <row r="73" spans="2:10" ht="15.75" customHeight="1" x14ac:dyDescent="0.25">
      <c r="B73" s="192" t="s">
        <v>125</v>
      </c>
      <c r="C73" s="193"/>
      <c r="D73" s="193"/>
      <c r="E73" s="193"/>
      <c r="F73" s="193"/>
      <c r="G73" s="194"/>
      <c r="H73" s="195" t="s">
        <v>126</v>
      </c>
      <c r="I73" s="196"/>
      <c r="J73" s="197"/>
    </row>
    <row r="74" spans="2:10" ht="15" customHeight="1" x14ac:dyDescent="0.25">
      <c r="B74" s="15"/>
      <c r="C74" s="223"/>
      <c r="D74" s="223"/>
      <c r="E74" s="223"/>
      <c r="F74" s="224" t="s">
        <v>121</v>
      </c>
      <c r="G74" s="125"/>
      <c r="H74" s="93"/>
      <c r="I74" s="224" t="s">
        <v>127</v>
      </c>
      <c r="J74" s="102"/>
    </row>
    <row r="75" spans="2:10" ht="15" customHeight="1" x14ac:dyDescent="0.25">
      <c r="B75" s="35"/>
      <c r="C75" s="9"/>
      <c r="D75" s="9"/>
      <c r="E75" s="223"/>
      <c r="F75" s="33" t="s">
        <v>164</v>
      </c>
      <c r="G75" s="126"/>
      <c r="H75" s="94"/>
      <c r="I75" s="33" t="s">
        <v>166</v>
      </c>
      <c r="J75" s="103"/>
    </row>
    <row r="76" spans="2:10" ht="15" customHeight="1" thickBot="1" x14ac:dyDescent="0.3">
      <c r="B76" s="232" t="s">
        <v>162</v>
      </c>
      <c r="C76" s="233"/>
      <c r="D76" s="233"/>
      <c r="E76" s="233"/>
      <c r="F76" s="233"/>
      <c r="G76" s="233"/>
      <c r="H76" s="233"/>
      <c r="I76" s="233"/>
      <c r="J76" s="234"/>
    </row>
    <row r="77" spans="2:10" ht="15.75" customHeight="1" x14ac:dyDescent="0.25">
      <c r="B77" s="147" t="s">
        <v>50</v>
      </c>
      <c r="C77" s="148"/>
      <c r="D77" s="148"/>
      <c r="E77" s="148"/>
      <c r="F77" s="148"/>
      <c r="G77" s="148"/>
      <c r="H77" s="149"/>
      <c r="I77" s="51" t="s">
        <v>28</v>
      </c>
      <c r="J77" s="50" t="s">
        <v>89</v>
      </c>
    </row>
    <row r="78" spans="2:10" ht="15" customHeight="1" thickBot="1" x14ac:dyDescent="0.3">
      <c r="B78" s="150"/>
      <c r="C78" s="151"/>
      <c r="D78" s="151"/>
      <c r="E78" s="151"/>
      <c r="F78" s="151"/>
      <c r="G78" s="151"/>
      <c r="H78" s="152"/>
      <c r="I78" s="11" t="str">
        <f>IF(H79&lt;20,"―",IF(J80="―",MIN(12.5*(J79*10),MIN(12.5*(J79*10),10)*J80)))</f>
        <v>―</v>
      </c>
      <c r="J78" s="13" t="str">
        <f>IF(I78="―","Not Rated",VLOOKUP(I78,T3:V8,3,TRUE))</f>
        <v>Not Rated</v>
      </c>
    </row>
    <row r="79" spans="2:10" ht="15" customHeight="1" x14ac:dyDescent="0.25">
      <c r="B79" s="42"/>
      <c r="C79" s="43"/>
      <c r="D79" s="43"/>
      <c r="E79" s="43"/>
      <c r="F79" s="43"/>
      <c r="G79" s="80" t="s">
        <v>155</v>
      </c>
      <c r="H79" s="132"/>
      <c r="I79" s="133" t="s">
        <v>51</v>
      </c>
      <c r="J79" s="97" t="str">
        <f>IF(H79=0,"―",H80/H79)</f>
        <v>―</v>
      </c>
    </row>
    <row r="80" spans="2:10" x14ac:dyDescent="0.25">
      <c r="B80" s="15"/>
      <c r="C80" s="223"/>
      <c r="D80" s="223"/>
      <c r="E80" s="223"/>
      <c r="F80" s="223"/>
      <c r="G80" s="8" t="s">
        <v>157</v>
      </c>
      <c r="H80" s="225"/>
      <c r="I80" s="227" t="s">
        <v>31</v>
      </c>
      <c r="J80" s="97" t="str">
        <f>IF(H81=0,"―",H82/H81)</f>
        <v>―</v>
      </c>
    </row>
    <row r="81" spans="2:10" ht="15.75" customHeight="1" x14ac:dyDescent="0.25">
      <c r="B81" s="15"/>
      <c r="C81" s="223"/>
      <c r="D81" s="223"/>
      <c r="E81" s="223"/>
      <c r="F81" s="223"/>
      <c r="G81" s="8" t="s">
        <v>156</v>
      </c>
      <c r="H81" s="225"/>
      <c r="I81" s="221" t="s">
        <v>154</v>
      </c>
      <c r="J81" s="222"/>
    </row>
    <row r="82" spans="2:10" ht="15.75" customHeight="1" x14ac:dyDescent="0.25">
      <c r="B82" s="15"/>
      <c r="C82" s="223"/>
      <c r="D82" s="223"/>
      <c r="E82" s="223"/>
      <c r="F82" s="223"/>
      <c r="G82" s="8" t="s">
        <v>158</v>
      </c>
      <c r="H82" s="226"/>
      <c r="I82" s="228"/>
      <c r="J82" s="229"/>
    </row>
    <row r="83" spans="2:10" x14ac:dyDescent="0.25">
      <c r="B83" s="153" t="s">
        <v>159</v>
      </c>
      <c r="C83" s="154"/>
      <c r="D83" s="154"/>
      <c r="E83" s="154"/>
      <c r="F83" s="154"/>
      <c r="G83" s="154"/>
      <c r="H83" s="154"/>
      <c r="I83" s="154"/>
      <c r="J83" s="155"/>
    </row>
    <row r="84" spans="2:10" ht="15" customHeight="1" thickBot="1" x14ac:dyDescent="0.3">
      <c r="B84" s="159"/>
      <c r="C84" s="160"/>
      <c r="D84" s="160"/>
      <c r="E84" s="160"/>
      <c r="F84" s="160"/>
      <c r="G84" s="160"/>
      <c r="H84" s="160"/>
      <c r="I84" s="160"/>
      <c r="J84" s="161"/>
    </row>
    <row r="85" spans="2:10" x14ac:dyDescent="0.25">
      <c r="B85" s="147" t="s">
        <v>52</v>
      </c>
      <c r="C85" s="148"/>
      <c r="D85" s="148"/>
      <c r="E85" s="148"/>
      <c r="F85" s="148"/>
      <c r="G85" s="148"/>
      <c r="H85" s="149"/>
      <c r="I85" s="51" t="s">
        <v>28</v>
      </c>
      <c r="J85" s="50" t="s">
        <v>89</v>
      </c>
    </row>
    <row r="86" spans="2:10" ht="15.75" thickBot="1" x14ac:dyDescent="0.3">
      <c r="B86" s="150"/>
      <c r="C86" s="151"/>
      <c r="D86" s="151"/>
      <c r="E86" s="151"/>
      <c r="F86" s="151"/>
      <c r="G86" s="151"/>
      <c r="H86" s="152"/>
      <c r="I86" s="48"/>
      <c r="J86" s="13" t="str">
        <f>IF(ISBLANK($I$86),"Not Rated",VLOOKUP(I86,U$3:$V$8,2,TRUE))</f>
        <v>Not Rated</v>
      </c>
    </row>
    <row r="87" spans="2:10" x14ac:dyDescent="0.25">
      <c r="B87" s="177" t="s">
        <v>66</v>
      </c>
      <c r="C87" s="178"/>
      <c r="D87" s="178"/>
      <c r="E87" s="178"/>
      <c r="F87" s="178"/>
      <c r="G87" s="178"/>
      <c r="H87" s="178"/>
      <c r="I87" s="178"/>
      <c r="J87" s="179"/>
    </row>
    <row r="88" spans="2:10" x14ac:dyDescent="0.25">
      <c r="B88" s="156"/>
      <c r="C88" s="157"/>
      <c r="D88" s="157"/>
      <c r="E88" s="157"/>
      <c r="F88" s="157"/>
      <c r="G88" s="157"/>
      <c r="H88" s="157"/>
      <c r="I88" s="157"/>
      <c r="J88" s="158"/>
    </row>
    <row r="89" spans="2:10" x14ac:dyDescent="0.25">
      <c r="B89" s="156"/>
      <c r="C89" s="157"/>
      <c r="D89" s="157"/>
      <c r="E89" s="157"/>
      <c r="F89" s="157"/>
      <c r="G89" s="157"/>
      <c r="H89" s="157"/>
      <c r="I89" s="157"/>
      <c r="J89" s="158"/>
    </row>
    <row r="90" spans="2:10" ht="15.75" thickBot="1" x14ac:dyDescent="0.3">
      <c r="B90" s="159"/>
      <c r="C90" s="160"/>
      <c r="D90" s="160"/>
      <c r="E90" s="160"/>
      <c r="F90" s="160"/>
      <c r="G90" s="160"/>
      <c r="H90" s="160"/>
      <c r="I90" s="160"/>
      <c r="J90" s="161"/>
    </row>
    <row r="93" spans="2:10" x14ac:dyDescent="0.25">
      <c r="E93" s="22"/>
    </row>
    <row r="94" spans="2:10" x14ac:dyDescent="0.25">
      <c r="E94" s="22"/>
    </row>
    <row r="96" spans="2:10" x14ac:dyDescent="0.25">
      <c r="H96" s="22"/>
    </row>
    <row r="97" spans="8:8" x14ac:dyDescent="0.25">
      <c r="H97" s="22"/>
    </row>
    <row r="98" spans="8:8" x14ac:dyDescent="0.25">
      <c r="H98" s="22"/>
    </row>
    <row r="99" spans="8:8" x14ac:dyDescent="0.25">
      <c r="H99" s="22"/>
    </row>
    <row r="100" spans="8:8" x14ac:dyDescent="0.25">
      <c r="H100" s="22"/>
    </row>
    <row r="101" spans="8:8" x14ac:dyDescent="0.25">
      <c r="H101" s="22"/>
    </row>
  </sheetData>
  <mergeCells count="31">
    <mergeCell ref="B2:J3"/>
    <mergeCell ref="N2:V2"/>
    <mergeCell ref="B25:J29"/>
    <mergeCell ref="A27:A28"/>
    <mergeCell ref="H4:H5"/>
    <mergeCell ref="H6:J11"/>
    <mergeCell ref="B12:H13"/>
    <mergeCell ref="B30:H31"/>
    <mergeCell ref="B53:H53"/>
    <mergeCell ref="B61:H61"/>
    <mergeCell ref="B67:H68"/>
    <mergeCell ref="B70:G70"/>
    <mergeCell ref="H70:J70"/>
    <mergeCell ref="B51:H52"/>
    <mergeCell ref="B43:J45"/>
    <mergeCell ref="B46:H47"/>
    <mergeCell ref="I48:J50"/>
    <mergeCell ref="I62:J66"/>
    <mergeCell ref="B87:J90"/>
    <mergeCell ref="B85:H86"/>
    <mergeCell ref="I53:J53"/>
    <mergeCell ref="I54:I55"/>
    <mergeCell ref="I56:I57"/>
    <mergeCell ref="I58:I59"/>
    <mergeCell ref="I60:I61"/>
    <mergeCell ref="B77:H78"/>
    <mergeCell ref="B73:G73"/>
    <mergeCell ref="H73:J73"/>
    <mergeCell ref="I81:J82"/>
    <mergeCell ref="B83:J84"/>
    <mergeCell ref="B76:J76"/>
  </mergeCells>
  <conditionalFormatting sqref="G14">
    <cfRule type="cellIs" dxfId="1" priority="3" operator="lessThan">
      <formula>0.95</formula>
    </cfRule>
  </conditionalFormatting>
  <conditionalFormatting sqref="G32">
    <cfRule type="cellIs" dxfId="0" priority="2" operator="lessThan">
      <formula>0.95</formula>
    </cfRule>
  </conditionalFormatting>
  <dataValidations count="1">
    <dataValidation type="decimal" allowBlank="1" showInputMessage="1" showErrorMessage="1" error="The School Climate Indicator is worth 5 points for High Schools. You have entered an invalid value." sqref="I86" xr:uid="{A56CB07D-EF18-4FF0-846C-B0EFDF43F625}">
      <formula1>0</formula1>
      <formula2>5</formula2>
    </dataValidation>
  </dataValidations>
  <pageMargins left="0.7" right="0.7" top="0.75" bottom="0.75" header="0.3" footer="0.3"/>
  <pageSetup orientation="portrait" r:id="rId1"/>
  <ignoredErrors>
    <ignoredError sqref="H16:I16 H34:I34" formulaRange="1"/>
    <ignoredError sqref="J37 J19 F7" formula="1"/>
    <ignoredError sqref="D10"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Elementary &amp; Middle Schools</vt:lpstr>
      <vt:lpstr>High Schools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Lavery, Matthew</dc:creator>
  <cp:lastModifiedBy>Lavery, Matthew</cp:lastModifiedBy>
  <dcterms:created xsi:type="dcterms:W3CDTF">2024-04-10T16:57:58Z</dcterms:created>
  <dcterms:modified xsi:type="dcterms:W3CDTF">2026-08-19T20:59:37Z</dcterms:modified>
</cp:coreProperties>
</file>